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75" yWindow="45" windowWidth="15480" windowHeight="11415" tabRatio="799"/>
  </bookViews>
  <sheets>
    <sheet name="Regras de Utilização" sheetId="24" r:id="rId1"/>
    <sheet name="Pressupostos" sheetId="12" r:id="rId2"/>
    <sheet name="VN" sheetId="1" r:id="rId3"/>
    <sheet name="CMVMC" sheetId="15" r:id="rId4"/>
    <sheet name="FSE" sheetId="6" r:id="rId5"/>
    <sheet name="Gastos com Pessoal" sheetId="7" r:id="rId6"/>
    <sheet name="FundoManeio" sheetId="3" r:id="rId7"/>
    <sheet name="Investimento" sheetId="25" r:id="rId8"/>
    <sheet name="Financiamento" sheetId="9" r:id="rId9"/>
    <sheet name="DR" sheetId="2" r:id="rId10"/>
    <sheet name="Ponto Crítico" sheetId="29" r:id="rId11"/>
    <sheet name="Cash Flow" sheetId="18" r:id="rId12"/>
    <sheet name="PlanoFinanceiro" sheetId="20" r:id="rId13"/>
    <sheet name="Balanço" sheetId="4" r:id="rId14"/>
    <sheet name="Indicadores" sheetId="5" r:id="rId15"/>
    <sheet name="Avaliação" sheetId="11" r:id="rId16"/>
    <sheet name="Calculos Auxiliares" sheetId="28" r:id="rId17"/>
  </sheets>
  <externalReferences>
    <externalReference r:id="rId18"/>
    <externalReference r:id="rId19"/>
    <externalReference r:id="rId20"/>
    <externalReference r:id="rId21"/>
  </externalReferences>
  <definedNames>
    <definedName name="anscount" hidden="1">1</definedName>
    <definedName name="Bu">[1]INPUT!$B$10</definedName>
    <definedName name="DC">[1]INPUT!$B$8</definedName>
    <definedName name="EXHIBIT_01">#REF!</definedName>
    <definedName name="EXHIBIT_02" localSheetId="16">#REF!</definedName>
    <definedName name="EXHIBIT_02" localSheetId="10">#REF!</definedName>
    <definedName name="EXHIBIT_02">#REF!</definedName>
    <definedName name="EXHIBIT_05" localSheetId="16">#REF!</definedName>
    <definedName name="EXHIBIT_05" localSheetId="10">#REF!</definedName>
    <definedName name="EXHIBIT_05">#REF!</definedName>
    <definedName name="EXHIBIT_06" localSheetId="16">#REF!</definedName>
    <definedName name="EXHIBIT_06" localSheetId="10">#REF!</definedName>
    <definedName name="EXHIBIT_06">#REF!</definedName>
    <definedName name="EXHIBIT_07" localSheetId="16">#REF!</definedName>
    <definedName name="EXHIBIT_07" localSheetId="10">#REF!</definedName>
    <definedName name="EXHIBIT_07">#REF!</definedName>
    <definedName name="EXHIBIT_08" localSheetId="16">#REF!</definedName>
    <definedName name="EXHIBIT_08" localSheetId="10">#REF!</definedName>
    <definedName name="EXHIBIT_08">#REF!</definedName>
    <definedName name="new_proj">'[2]Novos Projectos'!$A$3:$A$57</definedName>
    <definedName name="Pm">[1]INPUT!$B$6</definedName>
    <definedName name="_xlnm.Print_Area" localSheetId="15">Avaliação!$A$1:$I$48</definedName>
    <definedName name="_xlnm.Print_Area" localSheetId="13">Balanço!$A$1:$H$51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CMVMC!$A$1:$H$29</definedName>
    <definedName name="_xlnm.Print_Area" localSheetId="9">DR!$A$1:$G$32</definedName>
    <definedName name="_xlnm.Print_Area" localSheetId="8">Financiamento!$A$1:$H$98</definedName>
    <definedName name="_xlnm.Print_Area" localSheetId="4">FSE!$A$1:$K$53</definedName>
    <definedName name="_xlnm.Print_Area" localSheetId="6">FundoManeio!$A$1:$H$27</definedName>
    <definedName name="_xlnm.Print_Area" localSheetId="5">'Gastos com Pessoal'!$A$1:$I$87</definedName>
    <definedName name="_xlnm.Print_Area" localSheetId="14">Indicadores!$A$1:$G$28</definedName>
    <definedName name="_xlnm.Print_Area" localSheetId="7">Investimento!$A$1:$H$166</definedName>
    <definedName name="_xlnm.Print_Area" localSheetId="12">PlanoFinanceiro!$A$1:$H$35</definedName>
    <definedName name="_xlnm.Print_Area" localSheetId="10">'Ponto Crítico'!$A$1:$G$13</definedName>
    <definedName name="_xlnm.Print_Area" localSheetId="1">Pressupostos!$A$1:$E$51</definedName>
    <definedName name="_xlnm.Print_Area" localSheetId="0">'Regras de Utilização'!$B$1:$C$39</definedName>
    <definedName name="_xlnm.Print_Area" localSheetId="2">VN!$A$1:$H$88</definedName>
    <definedName name="_xlnm.Print_Titles" localSheetId="8">Financiamento!$1:$6</definedName>
    <definedName name="_xlnm.Print_Titles" localSheetId="5">'Gastos com Pessoal'!$1:$4</definedName>
    <definedName name="_xlnm.Print_Titles" localSheetId="2">VN!$1:$5</definedName>
    <definedName name="Rd">[1]INPUT!$B$4</definedName>
    <definedName name="t">[1]INPUT!$B$7</definedName>
    <definedName name="TD">[1]INPUT!$B$9</definedName>
    <definedName name="VARa">[1]INPUT!$B$12</definedName>
  </definedNames>
  <calcPr calcId="125725" fullCalcOnLoad="1"/>
</workbook>
</file>

<file path=xl/calcChain.xml><?xml version="1.0" encoding="utf-8"?>
<calcChain xmlns="http://schemas.openxmlformats.org/spreadsheetml/2006/main">
  <c r="D10" i="15"/>
  <c r="F10"/>
  <c r="H10"/>
  <c r="G18" i="6"/>
  <c r="F18"/>
  <c r="G32" i="7"/>
  <c r="H32" s="1"/>
  <c r="G33"/>
  <c r="H33" s="1"/>
  <c r="I33" s="1"/>
  <c r="I47" s="1"/>
  <c r="H16" i="6"/>
  <c r="I16" s="1"/>
  <c r="J16" s="1"/>
  <c r="K16" s="1"/>
  <c r="C20" i="1"/>
  <c r="H18"/>
  <c r="G18"/>
  <c r="F18"/>
  <c r="E18"/>
  <c r="D18"/>
  <c r="C18"/>
  <c r="H17"/>
  <c r="G17"/>
  <c r="G10" i="15" s="1"/>
  <c r="F17" i="1"/>
  <c r="E17"/>
  <c r="E10" i="15" s="1"/>
  <c r="D17" i="1"/>
  <c r="C17"/>
  <c r="C10" i="15" s="1"/>
  <c r="H15" i="1"/>
  <c r="G15"/>
  <c r="F15"/>
  <c r="E15"/>
  <c r="H13"/>
  <c r="H9" i="15" s="1"/>
  <c r="G13" i="1"/>
  <c r="G9" i="15" s="1"/>
  <c r="F13" i="1"/>
  <c r="F9" i="15" s="1"/>
  <c r="E13" i="1"/>
  <c r="E9" i="15" s="1"/>
  <c r="D13" i="1"/>
  <c r="D9" i="15" s="1"/>
  <c r="C13" i="1"/>
  <c r="C40"/>
  <c r="D38"/>
  <c r="D37" s="1"/>
  <c r="D15" i="15" s="1"/>
  <c r="E38" i="1"/>
  <c r="E39" s="1"/>
  <c r="F38"/>
  <c r="F39" s="1"/>
  <c r="G38"/>
  <c r="G39" s="1"/>
  <c r="H38"/>
  <c r="C38"/>
  <c r="F35"/>
  <c r="G35"/>
  <c r="H35"/>
  <c r="E35"/>
  <c r="C33"/>
  <c r="G41" i="6"/>
  <c r="G40"/>
  <c r="G36"/>
  <c r="F29"/>
  <c r="G29" s="1"/>
  <c r="H29" s="1"/>
  <c r="I29" s="1"/>
  <c r="J29" s="1"/>
  <c r="K29" s="1"/>
  <c r="F28"/>
  <c r="G28" s="1"/>
  <c r="H28" s="1"/>
  <c r="I28" s="1"/>
  <c r="J28" s="1"/>
  <c r="K28" s="1"/>
  <c r="F27"/>
  <c r="G27" s="1"/>
  <c r="G23"/>
  <c r="G24"/>
  <c r="G25"/>
  <c r="G22"/>
  <c r="F17"/>
  <c r="G17"/>
  <c r="H17" s="1"/>
  <c r="I17" s="1"/>
  <c r="J17" s="1"/>
  <c r="K17" s="1"/>
  <c r="C17" i="25"/>
  <c r="C16"/>
  <c r="C16" i="6"/>
  <c r="C9" i="29"/>
  <c r="B9"/>
  <c r="D9"/>
  <c r="E9"/>
  <c r="F9"/>
  <c r="G9"/>
  <c r="A9"/>
  <c r="A8"/>
  <c r="C8" i="1"/>
  <c r="D8" s="1"/>
  <c r="G2" i="29"/>
  <c r="G1"/>
  <c r="C13" i="6"/>
  <c r="C15"/>
  <c r="C17"/>
  <c r="C18"/>
  <c r="C19"/>
  <c r="C20"/>
  <c r="C22"/>
  <c r="C23"/>
  <c r="C24"/>
  <c r="C25"/>
  <c r="C27"/>
  <c r="C28"/>
  <c r="C29"/>
  <c r="C31"/>
  <c r="C32"/>
  <c r="C33"/>
  <c r="C35"/>
  <c r="C36"/>
  <c r="C37"/>
  <c r="C38"/>
  <c r="C39"/>
  <c r="C40"/>
  <c r="C41"/>
  <c r="C42"/>
  <c r="G50" i="11"/>
  <c r="C11"/>
  <c r="D73" i="28"/>
  <c r="E73"/>
  <c r="F73"/>
  <c r="G73"/>
  <c r="H73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81"/>
  <c r="E81"/>
  <c r="F81"/>
  <c r="G81"/>
  <c r="H81"/>
  <c r="D82"/>
  <c r="E82"/>
  <c r="F82"/>
  <c r="G82"/>
  <c r="H82"/>
  <c r="D83"/>
  <c r="E83"/>
  <c r="F83"/>
  <c r="G83"/>
  <c r="H83"/>
  <c r="D84"/>
  <c r="E84"/>
  <c r="F84"/>
  <c r="G84"/>
  <c r="H84"/>
  <c r="D85"/>
  <c r="E85"/>
  <c r="F85"/>
  <c r="G85"/>
  <c r="H85"/>
  <c r="D86"/>
  <c r="E86"/>
  <c r="F86"/>
  <c r="G86"/>
  <c r="H86"/>
  <c r="C74"/>
  <c r="C75"/>
  <c r="C76"/>
  <c r="C77"/>
  <c r="C78"/>
  <c r="C79"/>
  <c r="C80"/>
  <c r="C81"/>
  <c r="C82"/>
  <c r="C83"/>
  <c r="C84"/>
  <c r="C85"/>
  <c r="C86"/>
  <c r="C73"/>
  <c r="H1"/>
  <c r="C25"/>
  <c r="D25"/>
  <c r="H33"/>
  <c r="G33"/>
  <c r="F33"/>
  <c r="E33"/>
  <c r="D33"/>
  <c r="C33"/>
  <c r="D11" i="20"/>
  <c r="E11"/>
  <c r="F11"/>
  <c r="G11"/>
  <c r="H11"/>
  <c r="C11"/>
  <c r="C85" i="7"/>
  <c r="C86"/>
  <c r="C84"/>
  <c r="C58"/>
  <c r="C57"/>
  <c r="D46" i="4"/>
  <c r="E46"/>
  <c r="F46"/>
  <c r="G46"/>
  <c r="H46"/>
  <c r="C45"/>
  <c r="D45" s="1"/>
  <c r="E45" s="1"/>
  <c r="F45" s="1"/>
  <c r="G45" s="1"/>
  <c r="H45" s="1"/>
  <c r="C31"/>
  <c r="D31" s="1"/>
  <c r="E31" s="1"/>
  <c r="F31" s="1"/>
  <c r="G31" s="1"/>
  <c r="H31" s="1"/>
  <c r="C28"/>
  <c r="D28" s="1"/>
  <c r="E28" s="1"/>
  <c r="F28" s="1"/>
  <c r="G28" s="1"/>
  <c r="H28" s="1"/>
  <c r="C26"/>
  <c r="D26" s="1"/>
  <c r="E26" s="1"/>
  <c r="F26" s="1"/>
  <c r="G26" s="1"/>
  <c r="H26" s="1"/>
  <c r="D27" i="2"/>
  <c r="E15" i="20" s="1"/>
  <c r="E27" i="2"/>
  <c r="F27"/>
  <c r="G15" i="20" s="1"/>
  <c r="G27" i="2"/>
  <c r="H15" i="20"/>
  <c r="C71" i="25"/>
  <c r="B144"/>
  <c r="C72"/>
  <c r="C73"/>
  <c r="B158" s="1"/>
  <c r="B151"/>
  <c r="B137"/>
  <c r="H143" s="1"/>
  <c r="B128"/>
  <c r="H134" s="1"/>
  <c r="B121"/>
  <c r="B114"/>
  <c r="H120"/>
  <c r="B107"/>
  <c r="F111"/>
  <c r="G111" s="1"/>
  <c r="H111" s="1"/>
  <c r="B100"/>
  <c r="B93"/>
  <c r="G98" s="1"/>
  <c r="H98" s="1"/>
  <c r="H106"/>
  <c r="G105"/>
  <c r="H105"/>
  <c r="F104"/>
  <c r="G104"/>
  <c r="H104" s="1"/>
  <c r="E103"/>
  <c r="F103" s="1"/>
  <c r="G103" s="1"/>
  <c r="H103" s="1"/>
  <c r="D102"/>
  <c r="E102" s="1"/>
  <c r="C101"/>
  <c r="D101" s="1"/>
  <c r="B84"/>
  <c r="H90" s="1"/>
  <c r="B77"/>
  <c r="H83"/>
  <c r="C85"/>
  <c r="D85"/>
  <c r="D86"/>
  <c r="E86"/>
  <c r="F86" s="1"/>
  <c r="G86" s="1"/>
  <c r="H86" s="1"/>
  <c r="C52"/>
  <c r="D52" s="1"/>
  <c r="E52" s="1"/>
  <c r="F52" s="1"/>
  <c r="G52" s="1"/>
  <c r="H52" s="1"/>
  <c r="C51"/>
  <c r="D51" s="1"/>
  <c r="C50"/>
  <c r="D50" s="1"/>
  <c r="E50" s="1"/>
  <c r="F50" s="1"/>
  <c r="G50" s="1"/>
  <c r="C49"/>
  <c r="D49"/>
  <c r="C53"/>
  <c r="D53"/>
  <c r="E53" s="1"/>
  <c r="F53" s="1"/>
  <c r="G53" s="1"/>
  <c r="H53" s="1"/>
  <c r="C41"/>
  <c r="D41"/>
  <c r="C42"/>
  <c r="D42"/>
  <c r="C43"/>
  <c r="D43"/>
  <c r="E43" s="1"/>
  <c r="F43" s="1"/>
  <c r="G43" s="1"/>
  <c r="H43" s="1"/>
  <c r="C44"/>
  <c r="D44"/>
  <c r="E44" s="1"/>
  <c r="F44" s="1"/>
  <c r="G44" s="1"/>
  <c r="H44" s="1"/>
  <c r="C45"/>
  <c r="D45"/>
  <c r="E45" s="1"/>
  <c r="F45" s="1"/>
  <c r="G45" s="1"/>
  <c r="H45" s="1"/>
  <c r="C46"/>
  <c r="D46"/>
  <c r="E46" s="1"/>
  <c r="F46" s="1"/>
  <c r="G46" s="1"/>
  <c r="H46" s="1"/>
  <c r="C40"/>
  <c r="D40"/>
  <c r="C35"/>
  <c r="D35"/>
  <c r="E35" s="1"/>
  <c r="C36"/>
  <c r="D36"/>
  <c r="C37"/>
  <c r="D37"/>
  <c r="E37" s="1"/>
  <c r="F37" s="1"/>
  <c r="G37" s="1"/>
  <c r="H37" s="1"/>
  <c r="E78" i="7"/>
  <c r="F78"/>
  <c r="G78"/>
  <c r="H78"/>
  <c r="I78"/>
  <c r="D78"/>
  <c r="G13" i="6"/>
  <c r="G15"/>
  <c r="G45" s="1"/>
  <c r="H18"/>
  <c r="I18" s="1"/>
  <c r="J18" s="1"/>
  <c r="K18" s="1"/>
  <c r="G19"/>
  <c r="H19" s="1"/>
  <c r="I19" s="1"/>
  <c r="J19" s="1"/>
  <c r="K19" s="1"/>
  <c r="G20"/>
  <c r="H20"/>
  <c r="I20" s="1"/>
  <c r="J20" s="1"/>
  <c r="K20" s="1"/>
  <c r="G32"/>
  <c r="G33"/>
  <c r="G35"/>
  <c r="G37"/>
  <c r="G38"/>
  <c r="G39"/>
  <c r="G42"/>
  <c r="H15"/>
  <c r="I15"/>
  <c r="H22"/>
  <c r="I22"/>
  <c r="J22" s="1"/>
  <c r="K22" s="1"/>
  <c r="H23"/>
  <c r="H24"/>
  <c r="H25"/>
  <c r="H32"/>
  <c r="H33"/>
  <c r="H35"/>
  <c r="H36"/>
  <c r="I36" s="1"/>
  <c r="J36" s="1"/>
  <c r="K36" s="1"/>
  <c r="H37"/>
  <c r="H38"/>
  <c r="H39"/>
  <c r="H40"/>
  <c r="H41"/>
  <c r="I23"/>
  <c r="I24"/>
  <c r="I25"/>
  <c r="I32"/>
  <c r="I33"/>
  <c r="I35"/>
  <c r="I37"/>
  <c r="I38"/>
  <c r="I39"/>
  <c r="I40"/>
  <c r="I41"/>
  <c r="J23"/>
  <c r="J24"/>
  <c r="J25"/>
  <c r="J32"/>
  <c r="J33"/>
  <c r="J35"/>
  <c r="J37"/>
  <c r="J38"/>
  <c r="J39"/>
  <c r="J40"/>
  <c r="J41"/>
  <c r="K23"/>
  <c r="K24"/>
  <c r="K25"/>
  <c r="K32"/>
  <c r="K33"/>
  <c r="K35"/>
  <c r="K37"/>
  <c r="K38"/>
  <c r="K39"/>
  <c r="K40"/>
  <c r="K41"/>
  <c r="F13"/>
  <c r="F15"/>
  <c r="F19"/>
  <c r="F20"/>
  <c r="F32"/>
  <c r="F33"/>
  <c r="F35"/>
  <c r="F37"/>
  <c r="F38"/>
  <c r="F39"/>
  <c r="F42"/>
  <c r="D12" i="25"/>
  <c r="D21"/>
  <c r="D28"/>
  <c r="E12"/>
  <c r="E21"/>
  <c r="E28"/>
  <c r="F12"/>
  <c r="F21"/>
  <c r="F28"/>
  <c r="G12"/>
  <c r="G21"/>
  <c r="G28"/>
  <c r="H12"/>
  <c r="H21"/>
  <c r="H28"/>
  <c r="C12"/>
  <c r="C21"/>
  <c r="C28"/>
  <c r="C29"/>
  <c r="E41" i="7"/>
  <c r="E73" s="1"/>
  <c r="E84" s="1"/>
  <c r="E42"/>
  <c r="E43"/>
  <c r="E44"/>
  <c r="E45"/>
  <c r="E46"/>
  <c r="E47"/>
  <c r="E48"/>
  <c r="E35"/>
  <c r="E49" s="1"/>
  <c r="E36"/>
  <c r="E50" s="1"/>
  <c r="E37"/>
  <c r="E51" s="1"/>
  <c r="C60"/>
  <c r="E23"/>
  <c r="E60"/>
  <c r="E77" s="1"/>
  <c r="F41"/>
  <c r="F31"/>
  <c r="F45" s="1"/>
  <c r="F46"/>
  <c r="F47"/>
  <c r="F48"/>
  <c r="F36"/>
  <c r="F50"/>
  <c r="F37"/>
  <c r="F51"/>
  <c r="F23"/>
  <c r="F60"/>
  <c r="F77" s="1"/>
  <c r="G7"/>
  <c r="G31"/>
  <c r="G45" s="1"/>
  <c r="G36"/>
  <c r="G50" s="1"/>
  <c r="G37"/>
  <c r="G51" s="1"/>
  <c r="G23"/>
  <c r="G60" s="1"/>
  <c r="G77" s="1"/>
  <c r="H7"/>
  <c r="H23"/>
  <c r="H60" s="1"/>
  <c r="H77" s="1"/>
  <c r="I7"/>
  <c r="I23"/>
  <c r="I60" s="1"/>
  <c r="I77" s="1"/>
  <c r="D41"/>
  <c r="D57"/>
  <c r="D42"/>
  <c r="D43"/>
  <c r="D44"/>
  <c r="D45"/>
  <c r="D46"/>
  <c r="D47"/>
  <c r="D48"/>
  <c r="D49"/>
  <c r="D50"/>
  <c r="D51"/>
  <c r="D23"/>
  <c r="D60"/>
  <c r="D77" s="1"/>
  <c r="C29" i="11"/>
  <c r="D46" i="1"/>
  <c r="E46"/>
  <c r="F46" s="1"/>
  <c r="G46" s="1"/>
  <c r="H46" s="1"/>
  <c r="B32" i="12"/>
  <c r="B71" i="9"/>
  <c r="B31" i="12"/>
  <c r="B83" i="9"/>
  <c r="H87" s="1"/>
  <c r="B59"/>
  <c r="H63"/>
  <c r="B35"/>
  <c r="F39"/>
  <c r="B23"/>
  <c r="D27"/>
  <c r="G27"/>
  <c r="B31" i="25"/>
  <c r="B72" i="1"/>
  <c r="B78"/>
  <c r="C13" i="12"/>
  <c r="B18" i="15"/>
  <c r="D9" i="3"/>
  <c r="D22" i="4"/>
  <c r="B27" i="2"/>
  <c r="C15" i="20"/>
  <c r="C27" i="2"/>
  <c r="D15" i="20"/>
  <c r="F15"/>
  <c r="C10"/>
  <c r="D10"/>
  <c r="E10"/>
  <c r="F10"/>
  <c r="G10"/>
  <c r="H10"/>
  <c r="B59" i="11"/>
  <c r="C12" i="20"/>
  <c r="D12"/>
  <c r="E12"/>
  <c r="F12"/>
  <c r="G12"/>
  <c r="H12"/>
  <c r="C12" i="11"/>
  <c r="D12"/>
  <c r="E12" s="1"/>
  <c r="C98" i="9"/>
  <c r="C23" i="20" s="1"/>
  <c r="D38" i="9"/>
  <c r="C26"/>
  <c r="D29" s="1"/>
  <c r="C7"/>
  <c r="C13" s="1"/>
  <c r="A25" s="1"/>
  <c r="C14" i="12"/>
  <c r="C15"/>
  <c r="C66" i="1"/>
  <c r="C76" s="1"/>
  <c r="C54"/>
  <c r="C75" s="1"/>
  <c r="C22" i="4"/>
  <c r="A15" i="15"/>
  <c r="A14"/>
  <c r="A12"/>
  <c r="A11"/>
  <c r="A10"/>
  <c r="A9"/>
  <c r="C7" i="25"/>
  <c r="D62" i="1"/>
  <c r="E62" s="1"/>
  <c r="D48"/>
  <c r="E48" s="1"/>
  <c r="E54" s="1"/>
  <c r="D50"/>
  <c r="D52"/>
  <c r="E52" s="1"/>
  <c r="F52" s="1"/>
  <c r="D58"/>
  <c r="D66" s="1"/>
  <c r="D76" s="1"/>
  <c r="D60"/>
  <c r="D64"/>
  <c r="E64" s="1"/>
  <c r="E50"/>
  <c r="F50"/>
  <c r="G50" s="1"/>
  <c r="H50"/>
  <c r="F64"/>
  <c r="G64" s="1"/>
  <c r="H64"/>
  <c r="C21"/>
  <c r="C37"/>
  <c r="C15" i="15" s="1"/>
  <c r="H2" i="25"/>
  <c r="H1"/>
  <c r="D6" i="7"/>
  <c r="D71"/>
  <c r="D82" s="1"/>
  <c r="A27"/>
  <c r="A41" s="1"/>
  <c r="A37"/>
  <c r="A51" s="1"/>
  <c r="A36"/>
  <c r="A50" s="1"/>
  <c r="A35"/>
  <c r="A49" s="1"/>
  <c r="A34"/>
  <c r="A48" s="1"/>
  <c r="A33"/>
  <c r="A47" s="1"/>
  <c r="A32"/>
  <c r="A46" s="1"/>
  <c r="A31"/>
  <c r="A45" s="1"/>
  <c r="A30"/>
  <c r="A44" s="1"/>
  <c r="A29"/>
  <c r="A43" s="1"/>
  <c r="A28"/>
  <c r="A42" s="1"/>
  <c r="C57" i="1"/>
  <c r="B6" i="5"/>
  <c r="B25"/>
  <c r="C7" i="4"/>
  <c r="C7" i="20"/>
  <c r="C7" i="18"/>
  <c r="B7" i="2"/>
  <c r="C7" i="3"/>
  <c r="C32" i="1"/>
  <c r="D55" i="7"/>
  <c r="F12" i="6"/>
  <c r="F7"/>
  <c r="C7" i="15"/>
  <c r="C45" i="1"/>
  <c r="C12"/>
  <c r="H1"/>
  <c r="C13" i="11"/>
  <c r="C46" i="4"/>
  <c r="C50" i="9"/>
  <c r="C62"/>
  <c r="C74"/>
  <c r="C86"/>
  <c r="H1" i="20"/>
  <c r="H2"/>
  <c r="H1" i="18"/>
  <c r="H2"/>
  <c r="H1" i="15"/>
  <c r="H2"/>
  <c r="I1" i="11"/>
  <c r="G1" i="5"/>
  <c r="H2" i="3"/>
  <c r="H1"/>
  <c r="H2" i="4"/>
  <c r="H1"/>
  <c r="G2" i="2"/>
  <c r="G1"/>
  <c r="H2" i="9"/>
  <c r="H1"/>
  <c r="K2" i="6"/>
  <c r="K1"/>
  <c r="I2" i="7"/>
  <c r="I1"/>
  <c r="H2" i="1"/>
  <c r="H1" i="7"/>
  <c r="J1" i="6"/>
  <c r="F1" i="5"/>
  <c r="H1" i="11"/>
  <c r="E50" i="9"/>
  <c r="E53"/>
  <c r="E56" s="1"/>
  <c r="F50" s="1"/>
  <c r="F62"/>
  <c r="G74"/>
  <c r="H86"/>
  <c r="H88" s="1"/>
  <c r="H89"/>
  <c r="H92" s="1"/>
  <c r="E60" i="1"/>
  <c r="F60" s="1"/>
  <c r="G60" s="1"/>
  <c r="H60" s="1"/>
  <c r="C32" i="9"/>
  <c r="C95" s="1"/>
  <c r="C39" i="4" s="1"/>
  <c r="C37" s="1"/>
  <c r="D11" i="11"/>
  <c r="C59"/>
  <c r="H27" i="9"/>
  <c r="F27"/>
  <c r="F63"/>
  <c r="G63"/>
  <c r="D39"/>
  <c r="G39"/>
  <c r="E39"/>
  <c r="H39"/>
  <c r="E27"/>
  <c r="C84" i="25"/>
  <c r="G29"/>
  <c r="G19" i="20"/>
  <c r="H29" i="25"/>
  <c r="H19" i="18"/>
  <c r="F29" i="25"/>
  <c r="F19" i="18"/>
  <c r="D29" i="25"/>
  <c r="D19" i="18"/>
  <c r="C54" i="25"/>
  <c r="F62" i="1"/>
  <c r="G62" s="1"/>
  <c r="E31" i="25"/>
  <c r="G31"/>
  <c r="C31"/>
  <c r="D31"/>
  <c r="F31"/>
  <c r="H31"/>
  <c r="D21" i="1"/>
  <c r="C27" i="9"/>
  <c r="D74" i="7"/>
  <c r="D85"/>
  <c r="H62" i="1"/>
  <c r="C11" i="18"/>
  <c r="E11"/>
  <c r="H11"/>
  <c r="D11"/>
  <c r="F11"/>
  <c r="G11"/>
  <c r="E11" i="11"/>
  <c r="D13"/>
  <c r="D14" s="1"/>
  <c r="H42" i="6"/>
  <c r="I42" s="1"/>
  <c r="C38" i="25"/>
  <c r="E29"/>
  <c r="E19" i="20"/>
  <c r="F88" i="25"/>
  <c r="G88"/>
  <c r="H88" s="1"/>
  <c r="H99"/>
  <c r="E87"/>
  <c r="G89"/>
  <c r="H89" s="1"/>
  <c r="D146"/>
  <c r="E146" s="1"/>
  <c r="F146"/>
  <c r="G146" s="1"/>
  <c r="H146" s="1"/>
  <c r="E147"/>
  <c r="F147" s="1"/>
  <c r="G147"/>
  <c r="H147" s="1"/>
  <c r="C159"/>
  <c r="C138"/>
  <c r="D139"/>
  <c r="E139"/>
  <c r="F139" s="1"/>
  <c r="G139"/>
  <c r="H139" s="1"/>
  <c r="E140"/>
  <c r="F140" s="1"/>
  <c r="G140"/>
  <c r="H140" s="1"/>
  <c r="F141"/>
  <c r="G141" s="1"/>
  <c r="H141"/>
  <c r="G149"/>
  <c r="H149"/>
  <c r="C152"/>
  <c r="D152"/>
  <c r="E152" s="1"/>
  <c r="E154"/>
  <c r="F154" s="1"/>
  <c r="G154"/>
  <c r="H154" s="1"/>
  <c r="F155"/>
  <c r="G155" s="1"/>
  <c r="H155"/>
  <c r="G142"/>
  <c r="H142"/>
  <c r="D153"/>
  <c r="E153"/>
  <c r="F153" s="1"/>
  <c r="G153" s="1"/>
  <c r="H153" s="1"/>
  <c r="G156"/>
  <c r="H157"/>
  <c r="E80"/>
  <c r="F80"/>
  <c r="G80" s="1"/>
  <c r="H80"/>
  <c r="E96"/>
  <c r="F96"/>
  <c r="G96" s="1"/>
  <c r="H96" s="1"/>
  <c r="C115"/>
  <c r="E117"/>
  <c r="F117" s="1"/>
  <c r="G117"/>
  <c r="H117" s="1"/>
  <c r="C129"/>
  <c r="D116"/>
  <c r="E116"/>
  <c r="F116" s="1"/>
  <c r="G116" s="1"/>
  <c r="F118"/>
  <c r="G118" s="1"/>
  <c r="H118"/>
  <c r="E19" i="18"/>
  <c r="F132" i="25"/>
  <c r="G132" s="1"/>
  <c r="H132" s="1"/>
  <c r="D130"/>
  <c r="E130"/>
  <c r="F130" s="1"/>
  <c r="G130"/>
  <c r="H130" s="1"/>
  <c r="E131"/>
  <c r="F131" s="1"/>
  <c r="G131"/>
  <c r="H131" s="1"/>
  <c r="G133"/>
  <c r="H133" s="1"/>
  <c r="C78"/>
  <c r="C77" s="1"/>
  <c r="C91" s="1"/>
  <c r="G82"/>
  <c r="H82"/>
  <c r="C94"/>
  <c r="C108"/>
  <c r="G112"/>
  <c r="H112"/>
  <c r="H113"/>
  <c r="G119"/>
  <c r="H119" s="1"/>
  <c r="C122"/>
  <c r="D122" s="1"/>
  <c r="D123"/>
  <c r="E123"/>
  <c r="F123" s="1"/>
  <c r="G123"/>
  <c r="H123" s="1"/>
  <c r="E124"/>
  <c r="F124" s="1"/>
  <c r="G124"/>
  <c r="H124" s="1"/>
  <c r="F125"/>
  <c r="G125" s="1"/>
  <c r="H125"/>
  <c r="D109"/>
  <c r="E109"/>
  <c r="F109" s="1"/>
  <c r="G109" s="1"/>
  <c r="H109" s="1"/>
  <c r="E110"/>
  <c r="F110"/>
  <c r="G110" s="1"/>
  <c r="H110" s="1"/>
  <c r="G126"/>
  <c r="H127"/>
  <c r="C121"/>
  <c r="D95"/>
  <c r="E95"/>
  <c r="F95" s="1"/>
  <c r="F97"/>
  <c r="G97"/>
  <c r="H97" s="1"/>
  <c r="D79"/>
  <c r="E79" s="1"/>
  <c r="F79"/>
  <c r="F81"/>
  <c r="G81"/>
  <c r="H81" s="1"/>
  <c r="E40"/>
  <c r="F40" s="1"/>
  <c r="G40" s="1"/>
  <c r="H40" s="1"/>
  <c r="E85"/>
  <c r="D84"/>
  <c r="G19" i="18"/>
  <c r="D38" i="25"/>
  <c r="E36"/>
  <c r="F36" s="1"/>
  <c r="G36" s="1"/>
  <c r="H36" s="1"/>
  <c r="G30" i="7"/>
  <c r="G44" s="1"/>
  <c r="F44"/>
  <c r="F43"/>
  <c r="G29"/>
  <c r="H29" s="1"/>
  <c r="G28"/>
  <c r="F42"/>
  <c r="H27"/>
  <c r="H41"/>
  <c r="G41"/>
  <c r="G57"/>
  <c r="D151" i="25"/>
  <c r="H126"/>
  <c r="C151"/>
  <c r="F85"/>
  <c r="D115"/>
  <c r="D114" s="1"/>
  <c r="C114"/>
  <c r="D94"/>
  <c r="E94" s="1"/>
  <c r="C93"/>
  <c r="D78"/>
  <c r="G85"/>
  <c r="G73" i="7"/>
  <c r="J42" i="6"/>
  <c r="K42" s="1"/>
  <c r="E115" i="25"/>
  <c r="D93"/>
  <c r="H50"/>
  <c r="D58" i="7"/>
  <c r="H31"/>
  <c r="D73"/>
  <c r="D86"/>
  <c r="C31" i="3" s="1"/>
  <c r="E41" i="25"/>
  <c r="F41" s="1"/>
  <c r="D87" i="28"/>
  <c r="F87"/>
  <c r="H87"/>
  <c r="C87"/>
  <c r="E87"/>
  <c r="G87"/>
  <c r="C36"/>
  <c r="C54"/>
  <c r="E75" i="1"/>
  <c r="E78" s="1"/>
  <c r="G52"/>
  <c r="E37"/>
  <c r="E15" i="15" s="1"/>
  <c r="B10" i="5"/>
  <c r="B16"/>
  <c r="B21"/>
  <c r="D11" i="7"/>
  <c r="D26" s="1"/>
  <c r="D40" s="1"/>
  <c r="E9" i="3"/>
  <c r="I31" i="7"/>
  <c r="I45" s="1"/>
  <c r="H45"/>
  <c r="D84"/>
  <c r="E22" i="4"/>
  <c r="F9" i="3"/>
  <c r="F22" i="4"/>
  <c r="G9" i="3"/>
  <c r="F51" i="6"/>
  <c r="F53" s="1"/>
  <c r="F47"/>
  <c r="B11" i="29"/>
  <c r="F43" i="6"/>
  <c r="G47"/>
  <c r="C11" i="29" s="1"/>
  <c r="J15" i="6"/>
  <c r="C7" i="11"/>
  <c r="B49"/>
  <c r="C49" s="1"/>
  <c r="D49" s="1"/>
  <c r="E49" s="1"/>
  <c r="F49"/>
  <c r="G49" s="1"/>
  <c r="K15" i="6"/>
  <c r="F45"/>
  <c r="G79" i="25"/>
  <c r="H79" s="1"/>
  <c r="H116"/>
  <c r="F152"/>
  <c r="F151" s="1"/>
  <c r="H52" i="1"/>
  <c r="F53" i="9"/>
  <c r="F56" s="1"/>
  <c r="G53" s="1"/>
  <c r="H150" i="25"/>
  <c r="F148"/>
  <c r="G148"/>
  <c r="H148" s="1"/>
  <c r="C145"/>
  <c r="G75" i="9"/>
  <c r="H75"/>
  <c r="D54" i="1"/>
  <c r="D75"/>
  <c r="D78" s="1"/>
  <c r="H13" i="6"/>
  <c r="E58" i="1"/>
  <c r="F58" s="1"/>
  <c r="G57" i="11"/>
  <c r="G58" s="1"/>
  <c r="F57"/>
  <c r="F58" s="1"/>
  <c r="E57"/>
  <c r="E58" s="1"/>
  <c r="D57"/>
  <c r="D58"/>
  <c r="C57"/>
  <c r="C58"/>
  <c r="B57"/>
  <c r="B58"/>
  <c r="B47" i="9"/>
  <c r="H51"/>
  <c r="H37" i="7"/>
  <c r="H36"/>
  <c r="I36" s="1"/>
  <c r="I50" s="1"/>
  <c r="B7" i="29"/>
  <c r="I37" i="7"/>
  <c r="I51" s="1"/>
  <c r="H51"/>
  <c r="E66" i="1"/>
  <c r="E76" s="1"/>
  <c r="E77" s="1"/>
  <c r="G95" i="25"/>
  <c r="H95" s="1"/>
  <c r="H50" i="7"/>
  <c r="F51" i="9"/>
  <c r="F52"/>
  <c r="G51"/>
  <c r="E51"/>
  <c r="E52" s="1"/>
  <c r="I13" i="6"/>
  <c r="G152" i="25"/>
  <c r="D77" i="1"/>
  <c r="G50" i="9"/>
  <c r="G56" s="1"/>
  <c r="H53" s="1"/>
  <c r="H152" i="25"/>
  <c r="J13" i="6"/>
  <c r="K13"/>
  <c r="G52" i="9"/>
  <c r="G54" s="1"/>
  <c r="H50"/>
  <c r="G43" i="7"/>
  <c r="G49" i="6"/>
  <c r="B14" i="2"/>
  <c r="F49" i="6"/>
  <c r="D19" i="20"/>
  <c r="H19"/>
  <c r="F19"/>
  <c r="G34" i="7"/>
  <c r="H34" s="1"/>
  <c r="F35"/>
  <c r="F57"/>
  <c r="F73"/>
  <c r="F37" i="1"/>
  <c r="F15" i="15" s="1"/>
  <c r="E21" i="1"/>
  <c r="D36" i="28"/>
  <c r="D54" s="1"/>
  <c r="D72"/>
  <c r="E25"/>
  <c r="C72"/>
  <c r="G48" i="7"/>
  <c r="G47"/>
  <c r="G46"/>
  <c r="F49"/>
  <c r="G35"/>
  <c r="F84"/>
  <c r="F21" i="1"/>
  <c r="G21"/>
  <c r="H21"/>
  <c r="F25" i="28"/>
  <c r="G25" s="1"/>
  <c r="E36"/>
  <c r="E54"/>
  <c r="E72"/>
  <c r="H47" i="7"/>
  <c r="F52"/>
  <c r="F59" s="1"/>
  <c r="G49"/>
  <c r="H35"/>
  <c r="F72" i="28"/>
  <c r="F36"/>
  <c r="F54" s="1"/>
  <c r="I35" i="7"/>
  <c r="I49" s="1"/>
  <c r="H49"/>
  <c r="H25" i="28"/>
  <c r="C9" i="15"/>
  <c r="C29" i="1"/>
  <c r="C69"/>
  <c r="E49" i="25"/>
  <c r="F49"/>
  <c r="G49"/>
  <c r="D52" i="7"/>
  <c r="D59" s="1"/>
  <c r="H57"/>
  <c r="H73"/>
  <c r="I27"/>
  <c r="I41" s="1"/>
  <c r="I73" s="1"/>
  <c r="I84" s="1"/>
  <c r="E57"/>
  <c r="C12" i="15"/>
  <c r="C14"/>
  <c r="C13" s="1"/>
  <c r="I57" i="7"/>
  <c r="H84"/>
  <c r="D12" i="15"/>
  <c r="D8" s="1"/>
  <c r="E12"/>
  <c r="E29" i="1"/>
  <c r="E69" s="1"/>
  <c r="F12" i="15"/>
  <c r="F8" s="1"/>
  <c r="G12"/>
  <c r="G29" i="1"/>
  <c r="G69" s="1"/>
  <c r="H12" i="15"/>
  <c r="H8" s="1"/>
  <c r="G8"/>
  <c r="H29" i="1"/>
  <c r="H69" s="1"/>
  <c r="C41"/>
  <c r="C70" s="1"/>
  <c r="H37"/>
  <c r="H15" i="15" s="1"/>
  <c r="G37" i="1"/>
  <c r="G15" i="15" s="1"/>
  <c r="F29" i="1"/>
  <c r="F69"/>
  <c r="D29"/>
  <c r="D69" s="1"/>
  <c r="E42" i="25"/>
  <c r="E47" s="1"/>
  <c r="D47"/>
  <c r="E101"/>
  <c r="D100"/>
  <c r="C100"/>
  <c r="C47"/>
  <c r="F42"/>
  <c r="G42" s="1"/>
  <c r="H42"/>
  <c r="I32" i="7"/>
  <c r="I46"/>
  <c r="H46"/>
  <c r="F76"/>
  <c r="I29"/>
  <c r="I43"/>
  <c r="H43"/>
  <c r="H30"/>
  <c r="H44" s="1"/>
  <c r="E58"/>
  <c r="E52"/>
  <c r="E74"/>
  <c r="D75"/>
  <c r="D87"/>
  <c r="C30" i="3"/>
  <c r="F102" i="25"/>
  <c r="E51"/>
  <c r="E54" s="1"/>
  <c r="D54"/>
  <c r="C19" i="18"/>
  <c r="C19" i="20"/>
  <c r="H39" i="1"/>
  <c r="H19"/>
  <c r="G19"/>
  <c r="F19"/>
  <c r="E19"/>
  <c r="E8" i="15"/>
  <c r="E18"/>
  <c r="D33" i="1"/>
  <c r="D14" i="15" s="1"/>
  <c r="D72" i="1"/>
  <c r="H72"/>
  <c r="G72"/>
  <c r="E72"/>
  <c r="E82" s="1"/>
  <c r="C72"/>
  <c r="C71"/>
  <c r="E54" i="9"/>
  <c r="E55" s="1"/>
  <c r="G18" i="15"/>
  <c r="E13" i="11"/>
  <c r="E14"/>
  <c r="F12"/>
  <c r="G12"/>
  <c r="H12" s="1"/>
  <c r="I12" s="1"/>
  <c r="H90" i="9"/>
  <c r="H91" s="1"/>
  <c r="D7" i="20"/>
  <c r="C6" i="5"/>
  <c r="D7" i="4"/>
  <c r="C7" i="29"/>
  <c r="D12" i="1"/>
  <c r="C7" i="2"/>
  <c r="G7" i="6"/>
  <c r="D7" i="18"/>
  <c r="G12" i="6"/>
  <c r="D7" i="11"/>
  <c r="D45" i="1"/>
  <c r="D32"/>
  <c r="D7" i="3"/>
  <c r="D7" i="15"/>
  <c r="D29" i="11"/>
  <c r="E8" i="1"/>
  <c r="D7" i="25"/>
  <c r="D33"/>
  <c r="E6" i="7"/>
  <c r="D7" i="9"/>
  <c r="D13" s="1"/>
  <c r="A37" s="1"/>
  <c r="D57" i="1"/>
  <c r="I30" i="7"/>
  <c r="I44" s="1"/>
  <c r="E85"/>
  <c r="E86"/>
  <c r="D31" i="3" s="1"/>
  <c r="G102" i="25"/>
  <c r="H102" s="1"/>
  <c r="F51"/>
  <c r="G51" s="1"/>
  <c r="H51" s="1"/>
  <c r="D55"/>
  <c r="D13" i="15"/>
  <c r="D41" i="1"/>
  <c r="D70" s="1"/>
  <c r="D71" s="1"/>
  <c r="D80" s="1"/>
  <c r="E33"/>
  <c r="E14" i="15" s="1"/>
  <c r="E11" i="7"/>
  <c r="E26"/>
  <c r="E40" s="1"/>
  <c r="E71"/>
  <c r="E82" s="1"/>
  <c r="E55"/>
  <c r="E7" i="3"/>
  <c r="D7" i="2"/>
  <c r="H7" i="6"/>
  <c r="E29" i="11"/>
  <c r="C25" i="5"/>
  <c r="E87" i="7"/>
  <c r="F54" i="25"/>
  <c r="F33" i="1"/>
  <c r="F14" i="15" s="1"/>
  <c r="E13"/>
  <c r="E16" s="1"/>
  <c r="E11" i="3" s="1"/>
  <c r="E16" i="4" s="1"/>
  <c r="E41" i="1"/>
  <c r="E70" s="1"/>
  <c r="E71"/>
  <c r="E80" s="1"/>
  <c r="D8" i="2"/>
  <c r="F41" i="1"/>
  <c r="F70" s="1"/>
  <c r="D13" i="2"/>
  <c r="D10" i="29" s="1"/>
  <c r="E20" i="15"/>
  <c r="H33" i="1"/>
  <c r="H14" i="15" s="1"/>
  <c r="G33" i="1"/>
  <c r="G14" i="15" s="1"/>
  <c r="G13"/>
  <c r="G16" s="1"/>
  <c r="G41" i="1"/>
  <c r="G70"/>
  <c r="H41"/>
  <c r="H70" s="1"/>
  <c r="F13" i="2" l="1"/>
  <c r="F10" i="29" s="1"/>
  <c r="G11" i="3"/>
  <c r="G16" i="4" s="1"/>
  <c r="G20" i="15"/>
  <c r="C8"/>
  <c r="F13"/>
  <c r="H13"/>
  <c r="D8" i="29"/>
  <c r="F8" i="1"/>
  <c r="H12" i="6"/>
  <c r="E7" i="15"/>
  <c r="E7" i="9"/>
  <c r="E13" s="1"/>
  <c r="A49" s="1"/>
  <c r="E32" i="1"/>
  <c r="E7" i="25"/>
  <c r="E33" s="1"/>
  <c r="E7" i="4"/>
  <c r="D7" i="29"/>
  <c r="E57" i="1"/>
  <c r="F6" i="7"/>
  <c r="D6" i="5"/>
  <c r="E12" i="1"/>
  <c r="E7" i="11"/>
  <c r="E7" i="20"/>
  <c r="E7" i="18"/>
  <c r="E45" i="1"/>
  <c r="C16" i="5"/>
  <c r="C21"/>
  <c r="C10"/>
  <c r="F101" i="25"/>
  <c r="E100"/>
  <c r="F72" i="1"/>
  <c r="F71"/>
  <c r="H18" i="15"/>
  <c r="H16"/>
  <c r="H56" i="9"/>
  <c r="H52"/>
  <c r="F54"/>
  <c r="F55" s="1"/>
  <c r="G58" i="1"/>
  <c r="F66"/>
  <c r="F76" s="1"/>
  <c r="G22" i="4"/>
  <c r="H9" i="3"/>
  <c r="H156" i="25"/>
  <c r="G151"/>
  <c r="D138"/>
  <c r="C137"/>
  <c r="F87"/>
  <c r="G87" s="1"/>
  <c r="H87" s="1"/>
  <c r="E84"/>
  <c r="E84" i="1"/>
  <c r="G55" i="9"/>
  <c r="H71" i="1"/>
  <c r="H151" i="25"/>
  <c r="C8" i="2"/>
  <c r="E59" i="7"/>
  <c r="E76" s="1"/>
  <c r="F16" i="15"/>
  <c r="F18"/>
  <c r="D18"/>
  <c r="D16"/>
  <c r="E75" i="7"/>
  <c r="E79" s="1"/>
  <c r="C15" i="2" s="1"/>
  <c r="D30" i="3"/>
  <c r="D66" i="7"/>
  <c r="D68" s="1"/>
  <c r="D76"/>
  <c r="I34"/>
  <c r="I48" s="1"/>
  <c r="H48"/>
  <c r="G84"/>
  <c r="D77" i="25"/>
  <c r="D91" s="1"/>
  <c r="E78"/>
  <c r="F94"/>
  <c r="E93"/>
  <c r="H28" i="7"/>
  <c r="G42"/>
  <c r="D108" i="25"/>
  <c r="C107"/>
  <c r="D170"/>
  <c r="C170"/>
  <c r="D79" i="7"/>
  <c r="B15" i="2" s="1"/>
  <c r="D26" i="9"/>
  <c r="H49" i="25"/>
  <c r="H54" s="1"/>
  <c r="G54"/>
  <c r="H36" i="28"/>
  <c r="H54" s="1"/>
  <c r="H72"/>
  <c r="G72"/>
  <c r="G36"/>
  <c r="G54" s="1"/>
  <c r="C144" i="25"/>
  <c r="D145"/>
  <c r="G41"/>
  <c r="F47"/>
  <c r="E114"/>
  <c r="F115"/>
  <c r="H85"/>
  <c r="H84" s="1"/>
  <c r="G84"/>
  <c r="D121"/>
  <c r="E122"/>
  <c r="C177"/>
  <c r="C55"/>
  <c r="G77" i="9"/>
  <c r="G80"/>
  <c r="G76"/>
  <c r="C77" i="1"/>
  <c r="C78"/>
  <c r="C82" s="1"/>
  <c r="C80"/>
  <c r="D82"/>
  <c r="G71"/>
  <c r="F84" i="25"/>
  <c r="F74" i="7"/>
  <c r="E151" i="25"/>
  <c r="D129"/>
  <c r="C128"/>
  <c r="D159"/>
  <c r="C158"/>
  <c r="F11" i="11"/>
  <c r="D59"/>
  <c r="F65" i="9"/>
  <c r="F68" s="1"/>
  <c r="F64"/>
  <c r="D41"/>
  <c r="D98" s="1"/>
  <c r="D23" i="20" s="1"/>
  <c r="D40" i="9"/>
  <c r="D44"/>
  <c r="H27" i="6"/>
  <c r="G51"/>
  <c r="G43"/>
  <c r="F58" i="7"/>
  <c r="F75" s="1"/>
  <c r="C28" i="9"/>
  <c r="F48" i="1"/>
  <c r="C33" i="25"/>
  <c r="C169"/>
  <c r="D169" s="1"/>
  <c r="E169" s="1"/>
  <c r="F169" s="1"/>
  <c r="G169" s="1"/>
  <c r="H169" s="1"/>
  <c r="C176"/>
  <c r="D176" s="1"/>
  <c r="E176" s="1"/>
  <c r="F176" s="1"/>
  <c r="G176" s="1"/>
  <c r="H176" s="1"/>
  <c r="C75"/>
  <c r="F35"/>
  <c r="E38"/>
  <c r="F162"/>
  <c r="G162" s="1"/>
  <c r="H162" s="1"/>
  <c r="E161"/>
  <c r="F161" s="1"/>
  <c r="G161" s="1"/>
  <c r="H161" s="1"/>
  <c r="G163"/>
  <c r="H163" s="1"/>
  <c r="H164"/>
  <c r="D160"/>
  <c r="E160" s="1"/>
  <c r="F160" s="1"/>
  <c r="G160" s="1"/>
  <c r="H160" s="1"/>
  <c r="C18" i="15" l="1"/>
  <c r="C16"/>
  <c r="C32" i="3"/>
  <c r="C29" s="1"/>
  <c r="C12" s="1"/>
  <c r="C18" i="4" s="1"/>
  <c r="C18" i="3"/>
  <c r="E170" i="25"/>
  <c r="A78"/>
  <c r="D75"/>
  <c r="E75" s="1"/>
  <c r="F75" s="1"/>
  <c r="G75" s="1"/>
  <c r="H75" s="1"/>
  <c r="G48" i="1"/>
  <c r="F54"/>
  <c r="F75" s="1"/>
  <c r="E38" i="9"/>
  <c r="E41"/>
  <c r="G65"/>
  <c r="G62"/>
  <c r="E59" i="11"/>
  <c r="F13"/>
  <c r="F14" s="1"/>
  <c r="G11"/>
  <c r="E159" i="25"/>
  <c r="D158"/>
  <c r="D128"/>
  <c r="E129"/>
  <c r="F85" i="7"/>
  <c r="F79"/>
  <c r="D15" i="2" s="1"/>
  <c r="F86" i="7"/>
  <c r="E31" i="3" s="1"/>
  <c r="C84" i="1"/>
  <c r="B8" i="2"/>
  <c r="H74" i="9"/>
  <c r="H77"/>
  <c r="E121" i="25"/>
  <c r="F122"/>
  <c r="G115"/>
  <c r="F114"/>
  <c r="E145"/>
  <c r="D144"/>
  <c r="D28" i="9"/>
  <c r="D32"/>
  <c r="G58" i="7"/>
  <c r="G74"/>
  <c r="G52"/>
  <c r="F78" i="25"/>
  <c r="E77"/>
  <c r="E91" s="1"/>
  <c r="D20" i="15"/>
  <c r="D11" i="3"/>
  <c r="D16" i="4" s="1"/>
  <c r="C13" i="2"/>
  <c r="C10" i="29" s="1"/>
  <c r="C8"/>
  <c r="D7" i="5"/>
  <c r="E87" i="1"/>
  <c r="D17" i="2" s="1"/>
  <c r="E10" i="3"/>
  <c r="H22" i="4"/>
  <c r="H54" i="9"/>
  <c r="H55"/>
  <c r="H11" i="3"/>
  <c r="H16" i="4" s="1"/>
  <c r="G13" i="2"/>
  <c r="G10" i="29" s="1"/>
  <c r="H20" i="15"/>
  <c r="D16" i="5"/>
  <c r="D10"/>
  <c r="D21"/>
  <c r="D25"/>
  <c r="F7" i="9"/>
  <c r="F13" s="1"/>
  <c r="A61" s="1"/>
  <c r="F7" i="11"/>
  <c r="F7" i="18"/>
  <c r="F32" i="1"/>
  <c r="G6" i="7"/>
  <c r="F45" i="1"/>
  <c r="F7" i="20"/>
  <c r="F12" i="1"/>
  <c r="G8"/>
  <c r="F7" i="15"/>
  <c r="F7" i="25"/>
  <c r="F33" s="1"/>
  <c r="F7" i="4"/>
  <c r="I7" i="6"/>
  <c r="F29" i="11"/>
  <c r="F7" i="3"/>
  <c r="E6" i="5"/>
  <c r="E7" i="29"/>
  <c r="I12" i="6"/>
  <c r="F57" i="1"/>
  <c r="E7" i="2"/>
  <c r="D32" i="3"/>
  <c r="D29" s="1"/>
  <c r="C135" i="25"/>
  <c r="C165"/>
  <c r="F66" i="7"/>
  <c r="F68" s="1"/>
  <c r="E66"/>
  <c r="E68" s="1"/>
  <c r="E55" i="25"/>
  <c r="E177"/>
  <c r="G35"/>
  <c r="F38"/>
  <c r="C30" i="9"/>
  <c r="C38"/>
  <c r="C31"/>
  <c r="C97"/>
  <c r="B28" i="2" s="1"/>
  <c r="C24" i="20" s="1"/>
  <c r="C14" i="2"/>
  <c r="G53" i="6"/>
  <c r="I27"/>
  <c r="H45"/>
  <c r="H47"/>
  <c r="D11" i="29" s="1"/>
  <c r="D12" s="1"/>
  <c r="H43" i="6"/>
  <c r="H51"/>
  <c r="E32" i="3" s="1"/>
  <c r="D43" i="9"/>
  <c r="D42"/>
  <c r="F67"/>
  <c r="F66"/>
  <c r="G78"/>
  <c r="G79" s="1"/>
  <c r="C11" i="4"/>
  <c r="H41" i="25"/>
  <c r="H47" s="1"/>
  <c r="G47"/>
  <c r="D177"/>
  <c r="D107"/>
  <c r="D135" s="1"/>
  <c r="E108"/>
  <c r="I28" i="7"/>
  <c r="I42" s="1"/>
  <c r="H42"/>
  <c r="F93" i="25"/>
  <c r="G94"/>
  <c r="E13" i="2"/>
  <c r="E10" i="29" s="1"/>
  <c r="F11" i="3"/>
  <c r="F16" i="4" s="1"/>
  <c r="F20" i="15"/>
  <c r="E138" i="25"/>
  <c r="D137"/>
  <c r="D165" s="1"/>
  <c r="H58" i="1"/>
  <c r="H66" s="1"/>
  <c r="H76" s="1"/>
  <c r="G66"/>
  <c r="G76" s="1"/>
  <c r="G101" i="25"/>
  <c r="F100"/>
  <c r="F55" i="7"/>
  <c r="F11"/>
  <c r="F26" s="1"/>
  <c r="F40" s="1"/>
  <c r="F71"/>
  <c r="F82" s="1"/>
  <c r="D166" i="25"/>
  <c r="C24" i="2" s="1"/>
  <c r="D10" i="18" s="1"/>
  <c r="D84" i="1"/>
  <c r="C11" i="3" l="1"/>
  <c r="C16" i="4" s="1"/>
  <c r="C20" i="15"/>
  <c r="C17" i="3" s="1"/>
  <c r="B13" i="2"/>
  <c r="B10" i="29" s="1"/>
  <c r="D12" i="3"/>
  <c r="D18" i="4" s="1"/>
  <c r="D18" i="3"/>
  <c r="D87" i="1"/>
  <c r="C17" i="2" s="1"/>
  <c r="C23" s="1"/>
  <c r="C26" s="1"/>
  <c r="D10" i="3"/>
  <c r="I74" i="7"/>
  <c r="I52"/>
  <c r="I58"/>
  <c r="D11" i="4"/>
  <c r="H53" i="6"/>
  <c r="E17" i="3" s="1"/>
  <c r="D14" i="2"/>
  <c r="H49" i="6"/>
  <c r="F55" i="25"/>
  <c r="E11" i="4"/>
  <c r="C172" i="25"/>
  <c r="C179" s="1"/>
  <c r="C12" i="4" s="1"/>
  <c r="D172" i="25"/>
  <c r="D179" s="1"/>
  <c r="D12" i="4" s="1"/>
  <c r="H6" i="7"/>
  <c r="G7" i="3"/>
  <c r="H8" i="1"/>
  <c r="F6" i="5"/>
  <c r="G7" i="20"/>
  <c r="G7" i="11"/>
  <c r="F7" i="2"/>
  <c r="J7" i="6"/>
  <c r="F7" i="29"/>
  <c r="G57" i="1"/>
  <c r="G7" i="15"/>
  <c r="J12" i="6"/>
  <c r="G7" i="25"/>
  <c r="G33" s="1"/>
  <c r="G29" i="11"/>
  <c r="G32" i="1"/>
  <c r="G7" i="18"/>
  <c r="G7" i="4"/>
  <c r="G45" i="1"/>
  <c r="G12"/>
  <c r="G7" i="9"/>
  <c r="G13" s="1"/>
  <c r="A73" s="1"/>
  <c r="G71" i="7"/>
  <c r="G82" s="1"/>
  <c r="G55"/>
  <c r="G11"/>
  <c r="G26" s="1"/>
  <c r="G40" s="1"/>
  <c r="G78" i="25"/>
  <c r="F77"/>
  <c r="F91" s="1"/>
  <c r="G85" i="7"/>
  <c r="G86"/>
  <c r="F31" i="3" s="1"/>
  <c r="E29" i="9"/>
  <c r="E98" s="1"/>
  <c r="E23" i="20" s="1"/>
  <c r="D95" i="9"/>
  <c r="D39" i="4" s="1"/>
  <c r="E26" i="9"/>
  <c r="G122" i="25"/>
  <c r="F121"/>
  <c r="B26" i="5"/>
  <c r="B8" i="29"/>
  <c r="B12" s="1"/>
  <c r="E30" i="3"/>
  <c r="E29" s="1"/>
  <c r="F87" i="7"/>
  <c r="E158" i="25"/>
  <c r="F159"/>
  <c r="G68" i="9"/>
  <c r="G64"/>
  <c r="F78" i="1"/>
  <c r="F82" s="1"/>
  <c r="F77"/>
  <c r="F80" s="1"/>
  <c r="G100" i="25"/>
  <c r="H101"/>
  <c r="H100" s="1"/>
  <c r="E137"/>
  <c r="F138"/>
  <c r="H94"/>
  <c r="H93" s="1"/>
  <c r="G93"/>
  <c r="H74" i="7"/>
  <c r="H52"/>
  <c r="H58"/>
  <c r="E107" i="25"/>
  <c r="F108"/>
  <c r="J27" i="6"/>
  <c r="I47"/>
  <c r="E11" i="29" s="1"/>
  <c r="I51" i="6"/>
  <c r="I45"/>
  <c r="I43"/>
  <c r="H35" i="25"/>
  <c r="H38" s="1"/>
  <c r="G38"/>
  <c r="D171"/>
  <c r="C171"/>
  <c r="C166"/>
  <c r="B24" i="2" s="1"/>
  <c r="E25" i="5"/>
  <c r="E10"/>
  <c r="E16"/>
  <c r="E21"/>
  <c r="G59" i="7"/>
  <c r="G76" s="1"/>
  <c r="G66"/>
  <c r="G68" s="1"/>
  <c r="G75"/>
  <c r="G79" s="1"/>
  <c r="E15" i="2" s="1"/>
  <c r="D30" i="9"/>
  <c r="D31" s="1"/>
  <c r="D97"/>
  <c r="C28" i="2" s="1"/>
  <c r="D24" i="20" s="1"/>
  <c r="E144" i="25"/>
  <c r="F145"/>
  <c r="H115"/>
  <c r="H114" s="1"/>
  <c r="G114"/>
  <c r="H76" i="9"/>
  <c r="H80"/>
  <c r="C87" i="1"/>
  <c r="B17" i="2" s="1"/>
  <c r="B23" s="1"/>
  <c r="B26" s="1"/>
  <c r="C10" i="3"/>
  <c r="F129" i="25"/>
  <c r="E128"/>
  <c r="H11" i="11"/>
  <c r="G13"/>
  <c r="G14" s="1"/>
  <c r="F59"/>
  <c r="E44" i="9"/>
  <c r="E40"/>
  <c r="G54" i="1"/>
  <c r="G75" s="1"/>
  <c r="H48"/>
  <c r="H54" s="1"/>
  <c r="H75" s="1"/>
  <c r="A85" i="25"/>
  <c r="A94" s="1"/>
  <c r="A101" s="1"/>
  <c r="A79"/>
  <c r="D17" i="3"/>
  <c r="C13" i="29"/>
  <c r="C7" i="5"/>
  <c r="C26"/>
  <c r="C27" s="1"/>
  <c r="C12" i="29"/>
  <c r="C20" i="3" l="1"/>
  <c r="C43" i="4"/>
  <c r="B19" i="5"/>
  <c r="C9" i="18"/>
  <c r="C9" i="20"/>
  <c r="B29" i="2"/>
  <c r="G78" i="1"/>
  <c r="G82" s="1"/>
  <c r="G77"/>
  <c r="G80" s="1"/>
  <c r="F41" i="9"/>
  <c r="F38"/>
  <c r="G145" i="25"/>
  <c r="F144"/>
  <c r="D43" i="4"/>
  <c r="D20" i="3"/>
  <c r="A80" i="25"/>
  <c r="A86"/>
  <c r="A95" s="1"/>
  <c r="A102" s="1"/>
  <c r="H78" i="1"/>
  <c r="H82" s="1"/>
  <c r="H77"/>
  <c r="H80" s="1"/>
  <c r="E42" i="9"/>
  <c r="E43" s="1"/>
  <c r="G59" i="11"/>
  <c r="I11"/>
  <c r="I13" s="1"/>
  <c r="H13"/>
  <c r="F128" i="25"/>
  <c r="G129"/>
  <c r="H78" i="9"/>
  <c r="H79"/>
  <c r="C10" i="18"/>
  <c r="B13" i="29"/>
  <c r="C178" i="25"/>
  <c r="C173"/>
  <c r="D178"/>
  <c r="D173"/>
  <c r="H55"/>
  <c r="I49" i="6"/>
  <c r="F107" i="25"/>
  <c r="F135" s="1"/>
  <c r="G108"/>
  <c r="H75" i="7"/>
  <c r="H86"/>
  <c r="G31" i="3" s="1"/>
  <c r="H85" i="7"/>
  <c r="H62" i="9"/>
  <c r="H65"/>
  <c r="E18" i="3"/>
  <c r="E20" s="1"/>
  <c r="E12"/>
  <c r="H122" i="25"/>
  <c r="H121" s="1"/>
  <c r="G121"/>
  <c r="B50" i="11"/>
  <c r="D37" i="4"/>
  <c r="G87" i="7"/>
  <c r="F30" i="3"/>
  <c r="H78" i="25"/>
  <c r="H77" s="1"/>
  <c r="H91" s="1"/>
  <c r="G77"/>
  <c r="G91" s="1"/>
  <c r="F10" i="5"/>
  <c r="F21"/>
  <c r="F25"/>
  <c r="F16"/>
  <c r="D23" i="2"/>
  <c r="D26" i="5"/>
  <c r="I75" i="7"/>
  <c r="I85"/>
  <c r="I86"/>
  <c r="H31" i="3" s="1"/>
  <c r="C19" i="5"/>
  <c r="D9" i="18"/>
  <c r="D12" s="1"/>
  <c r="C29" i="2"/>
  <c r="D9" i="20"/>
  <c r="C28" i="5"/>
  <c r="E165" i="25"/>
  <c r="F32" i="3"/>
  <c r="B27" i="5"/>
  <c r="E17" i="4"/>
  <c r="A138" i="25"/>
  <c r="A145" s="1"/>
  <c r="A152" s="1"/>
  <c r="A159" s="1"/>
  <c r="A108"/>
  <c r="A115" s="1"/>
  <c r="A122" s="1"/>
  <c r="A129" s="1"/>
  <c r="C15" i="3"/>
  <c r="C22" s="1"/>
  <c r="C24" s="1"/>
  <c r="C17" i="4"/>
  <c r="G55" i="25"/>
  <c r="I53" i="6"/>
  <c r="F17" i="3" s="1"/>
  <c r="E14" i="2"/>
  <c r="K27" i="6"/>
  <c r="J45"/>
  <c r="J51"/>
  <c r="J43"/>
  <c r="J47"/>
  <c r="F11" i="29" s="1"/>
  <c r="H59" i="7"/>
  <c r="H76" s="1"/>
  <c r="H79" s="1"/>
  <c r="F15" i="2" s="1"/>
  <c r="F137" i="25"/>
  <c r="G138"/>
  <c r="F84" i="1"/>
  <c r="E8" i="2"/>
  <c r="G66" i="9"/>
  <c r="G67" s="1"/>
  <c r="F158" i="25"/>
  <c r="G159"/>
  <c r="E32" i="9"/>
  <c r="E28"/>
  <c r="G170" i="25"/>
  <c r="F170"/>
  <c r="H45" i="1"/>
  <c r="H7" i="9"/>
  <c r="H13" s="1"/>
  <c r="A85" s="1"/>
  <c r="H32" i="1"/>
  <c r="H7" i="4"/>
  <c r="G7" i="29"/>
  <c r="H7" i="15"/>
  <c r="G6" i="5"/>
  <c r="G7" i="2"/>
  <c r="H7" i="3"/>
  <c r="K7" i="6"/>
  <c r="H7" i="18"/>
  <c r="K12" i="6"/>
  <c r="I6" i="7"/>
  <c r="H12" i="1"/>
  <c r="H7" i="11"/>
  <c r="I7" s="1"/>
  <c r="H7" i="20"/>
  <c r="H57" i="1"/>
  <c r="H29" i="11"/>
  <c r="I29" s="1"/>
  <c r="H7" i="25"/>
  <c r="H33" s="1"/>
  <c r="H71" i="7"/>
  <c r="H82" s="1"/>
  <c r="H55"/>
  <c r="H11"/>
  <c r="H26" s="1"/>
  <c r="H40" s="1"/>
  <c r="E43" i="4"/>
  <c r="I59" i="7"/>
  <c r="I76" s="1"/>
  <c r="I79" s="1"/>
  <c r="G15" i="2" s="1"/>
  <c r="D17" i="4"/>
  <c r="D15" i="3"/>
  <c r="D22" s="1"/>
  <c r="D24" s="1"/>
  <c r="H14" i="11"/>
  <c r="I14" s="1"/>
  <c r="E135" i="25"/>
  <c r="D15" i="4" l="1"/>
  <c r="I71" i="7"/>
  <c r="I82" s="1"/>
  <c r="I11"/>
  <c r="I26" s="1"/>
  <c r="I40" s="1"/>
  <c r="I55"/>
  <c r="G21" i="5"/>
  <c r="G16"/>
  <c r="G10"/>
  <c r="G25"/>
  <c r="E30" i="9"/>
  <c r="E97" s="1"/>
  <c r="D28" i="2" s="1"/>
  <c r="E24" i="20" s="1"/>
  <c r="H159" i="25"/>
  <c r="H158" s="1"/>
  <c r="G158"/>
  <c r="E7" i="5"/>
  <c r="E8" i="29"/>
  <c r="E12" s="1"/>
  <c r="E26" i="5"/>
  <c r="G137" i="25"/>
  <c r="G165" s="1"/>
  <c r="H138"/>
  <c r="H137" s="1"/>
  <c r="K45" i="6"/>
  <c r="K43"/>
  <c r="K51"/>
  <c r="K47"/>
  <c r="G11" i="29" s="1"/>
  <c r="F43" i="4"/>
  <c r="C14" i="18"/>
  <c r="C14" i="20"/>
  <c r="C20"/>
  <c r="C26" s="1"/>
  <c r="C8" i="9"/>
  <c r="C10" s="1"/>
  <c r="E172" i="25"/>
  <c r="E179" s="1"/>
  <c r="E12" i="4" s="1"/>
  <c r="D14" i="9"/>
  <c r="D20" s="1"/>
  <c r="H30" i="3"/>
  <c r="I87" i="7"/>
  <c r="H64" i="9"/>
  <c r="H68"/>
  <c r="G107" i="25"/>
  <c r="H108"/>
  <c r="H107" s="1"/>
  <c r="G128"/>
  <c r="H129"/>
  <c r="H128" s="1"/>
  <c r="A81"/>
  <c r="A87"/>
  <c r="A96" s="1"/>
  <c r="A103" s="1"/>
  <c r="G144"/>
  <c r="H145"/>
  <c r="H144" s="1"/>
  <c r="G177"/>
  <c r="H66" i="7"/>
  <c r="H68" s="1"/>
  <c r="H32" i="3"/>
  <c r="G32"/>
  <c r="C17" i="20"/>
  <c r="F171" i="25"/>
  <c r="F178" s="1"/>
  <c r="F10" i="4" s="1"/>
  <c r="E166" i="25"/>
  <c r="D24" i="2" s="1"/>
  <c r="D26" s="1"/>
  <c r="E171" i="25"/>
  <c r="D14" i="18"/>
  <c r="D16" s="1"/>
  <c r="D8" i="9"/>
  <c r="D10" s="1"/>
  <c r="D14" i="20"/>
  <c r="D20"/>
  <c r="F177" i="25"/>
  <c r="E95" i="9"/>
  <c r="E39" i="4" s="1"/>
  <c r="F26" i="9"/>
  <c r="F29"/>
  <c r="F98" s="1"/>
  <c r="F23" i="20" s="1"/>
  <c r="F87" i="1"/>
  <c r="E17" i="2" s="1"/>
  <c r="E23" s="1"/>
  <c r="F10" i="3"/>
  <c r="J53" i="6"/>
  <c r="G17" i="3" s="1"/>
  <c r="F14" i="2"/>
  <c r="J49" i="6"/>
  <c r="C15" i="4"/>
  <c r="H170" i="25"/>
  <c r="E18" i="4"/>
  <c r="E15" i="3"/>
  <c r="E22" s="1"/>
  <c r="E24" s="1"/>
  <c r="H87" i="7"/>
  <c r="G30" i="3"/>
  <c r="D10" i="4"/>
  <c r="D9" s="1"/>
  <c r="D180" i="25"/>
  <c r="C10" i="4"/>
  <c r="C9" s="1"/>
  <c r="C180" i="25"/>
  <c r="H84" i="1"/>
  <c r="G8" i="2"/>
  <c r="A109" i="25"/>
  <c r="A116" s="1"/>
  <c r="A123" s="1"/>
  <c r="A130" s="1"/>
  <c r="A139"/>
  <c r="A146" s="1"/>
  <c r="A153" s="1"/>
  <c r="A160" s="1"/>
  <c r="F40" i="9"/>
  <c r="F44"/>
  <c r="G84" i="1"/>
  <c r="F8" i="2"/>
  <c r="B31"/>
  <c r="B30"/>
  <c r="F165" i="25"/>
  <c r="F166" s="1"/>
  <c r="E24" i="2" s="1"/>
  <c r="D17" i="20"/>
  <c r="I66" i="7"/>
  <c r="I68" s="1"/>
  <c r="F29" i="3"/>
  <c r="B28" i="5"/>
  <c r="C12" i="18"/>
  <c r="E26" i="2" l="1"/>
  <c r="F9" i="18" s="1"/>
  <c r="D21"/>
  <c r="E31" i="9"/>
  <c r="F9" i="20"/>
  <c r="F12" i="3"/>
  <c r="F18" i="4" s="1"/>
  <c r="F18" i="3"/>
  <c r="F10" i="18"/>
  <c r="E13" i="29"/>
  <c r="B8" i="5"/>
  <c r="C32" i="2"/>
  <c r="C30" s="1"/>
  <c r="C32" i="4"/>
  <c r="G43"/>
  <c r="F28" i="9"/>
  <c r="F32"/>
  <c r="E178" i="25"/>
  <c r="E173"/>
  <c r="E9" i="20"/>
  <c r="E9" i="18"/>
  <c r="D29" i="2"/>
  <c r="D28" i="5" s="1"/>
  <c r="D19"/>
  <c r="D21" i="20"/>
  <c r="C44" i="4"/>
  <c r="C42" s="1"/>
  <c r="F8" i="29"/>
  <c r="F12" s="1"/>
  <c r="F26" i="5"/>
  <c r="F7"/>
  <c r="G38" i="9"/>
  <c r="G41"/>
  <c r="G7" i="5"/>
  <c r="G8" i="29"/>
  <c r="G12" s="1"/>
  <c r="E8" i="9"/>
  <c r="E10" s="1"/>
  <c r="E20" i="20"/>
  <c r="E14" i="18"/>
  <c r="E14" i="20"/>
  <c r="H177" i="25"/>
  <c r="C23" i="4"/>
  <c r="B22" i="5"/>
  <c r="F15" i="3"/>
  <c r="F17" i="4"/>
  <c r="C50" i="11"/>
  <c r="E37" i="4"/>
  <c r="E10" i="18"/>
  <c r="D13" i="29"/>
  <c r="G11" i="4"/>
  <c r="A88" i="25"/>
  <c r="A97" s="1"/>
  <c r="A104" s="1"/>
  <c r="A82"/>
  <c r="H66" i="9"/>
  <c r="H67" s="1"/>
  <c r="K53" i="6"/>
  <c r="H17" i="3" s="1"/>
  <c r="G14" i="2"/>
  <c r="G23" s="1"/>
  <c r="G26" s="1"/>
  <c r="E15" i="4"/>
  <c r="D27" i="5"/>
  <c r="G29" i="3"/>
  <c r="C27" i="20"/>
  <c r="C28" s="1"/>
  <c r="G135" i="25"/>
  <c r="H29" i="3"/>
  <c r="H165" i="25"/>
  <c r="H172" s="1"/>
  <c r="H179" s="1"/>
  <c r="H12" i="4" s="1"/>
  <c r="C14" i="9"/>
  <c r="C20" s="1"/>
  <c r="C21" i="18"/>
  <c r="C16"/>
  <c r="G87" i="1"/>
  <c r="F17" i="2" s="1"/>
  <c r="F23" s="1"/>
  <c r="G10" i="3"/>
  <c r="F42" i="9"/>
  <c r="F43"/>
  <c r="H87" i="1"/>
  <c r="G17" i="2" s="1"/>
  <c r="H10" i="3"/>
  <c r="F11" i="4"/>
  <c r="A140" i="25"/>
  <c r="A147" s="1"/>
  <c r="A154" s="1"/>
  <c r="A161" s="1"/>
  <c r="A110"/>
  <c r="A117" s="1"/>
  <c r="A124" s="1"/>
  <c r="A131" s="1"/>
  <c r="D31" i="11"/>
  <c r="D9"/>
  <c r="D16" s="1"/>
  <c r="L12" s="1"/>
  <c r="K49" i="6"/>
  <c r="D23" i="4"/>
  <c r="D26" i="20"/>
  <c r="D27" s="1"/>
  <c r="H135" i="25"/>
  <c r="H166" s="1"/>
  <c r="G24" i="2" s="1"/>
  <c r="H10" i="18" s="1"/>
  <c r="F172" i="25"/>
  <c r="G172"/>
  <c r="G179" s="1"/>
  <c r="G12" i="4" s="1"/>
  <c r="E27" i="5"/>
  <c r="H9" i="18" l="1"/>
  <c r="H12" s="1"/>
  <c r="H9" i="20"/>
  <c r="H18" i="3"/>
  <c r="H12"/>
  <c r="H18" i="4" s="1"/>
  <c r="F179" i="25"/>
  <c r="F173"/>
  <c r="C13" i="5"/>
  <c r="C12"/>
  <c r="D23" i="18"/>
  <c r="C31" i="11"/>
  <c r="C23" i="18"/>
  <c r="C9" i="11"/>
  <c r="G171" i="25"/>
  <c r="G166"/>
  <c r="F24" i="2" s="1"/>
  <c r="H171" i="25"/>
  <c r="H43" i="4"/>
  <c r="H20" i="3"/>
  <c r="A141" i="25"/>
  <c r="A148" s="1"/>
  <c r="A155" s="1"/>
  <c r="A162" s="1"/>
  <c r="A111"/>
  <c r="A118" s="1"/>
  <c r="A125" s="1"/>
  <c r="A132" s="1"/>
  <c r="B13" i="5"/>
  <c r="B12"/>
  <c r="E10" i="4"/>
  <c r="E9" s="1"/>
  <c r="E23" s="1"/>
  <c r="E180" i="25"/>
  <c r="F30" i="9"/>
  <c r="F31" s="1"/>
  <c r="F97"/>
  <c r="E28" i="2" s="1"/>
  <c r="D29" i="4"/>
  <c r="C33"/>
  <c r="E21" i="20"/>
  <c r="D44" i="4"/>
  <c r="D42" s="1"/>
  <c r="C31" i="2"/>
  <c r="F20" i="3"/>
  <c r="F22" s="1"/>
  <c r="F24" s="1"/>
  <c r="E12" i="18"/>
  <c r="F12"/>
  <c r="H17" i="4"/>
  <c r="H15" i="3"/>
  <c r="H22" s="1"/>
  <c r="G17" i="4"/>
  <c r="C30" i="20"/>
  <c r="D28"/>
  <c r="G18" i="3"/>
  <c r="G12"/>
  <c r="G18" i="4" s="1"/>
  <c r="A83" i="25"/>
  <c r="A90" s="1"/>
  <c r="A99" s="1"/>
  <c r="A106" s="1"/>
  <c r="A89"/>
  <c r="A98" s="1"/>
  <c r="A105" s="1"/>
  <c r="F15" i="4"/>
  <c r="H11"/>
  <c r="G44" i="9"/>
  <c r="G40"/>
  <c r="C49" i="4"/>
  <c r="B18" i="5" s="1"/>
  <c r="B23"/>
  <c r="G29" i="9"/>
  <c r="G98" s="1"/>
  <c r="G23" i="20" s="1"/>
  <c r="F95" i="9"/>
  <c r="F39" i="4" s="1"/>
  <c r="G26" i="9"/>
  <c r="G13" i="29"/>
  <c r="E26" i="20"/>
  <c r="G26" i="5"/>
  <c r="G27" s="1"/>
  <c r="E17" i="20"/>
  <c r="E27" s="1"/>
  <c r="B11" i="5"/>
  <c r="D13" l="1"/>
  <c r="D12"/>
  <c r="G15" i="4"/>
  <c r="F14" i="9"/>
  <c r="F20" s="1"/>
  <c r="F24" i="20"/>
  <c r="E29" i="2"/>
  <c r="E19" i="5"/>
  <c r="G32" i="9"/>
  <c r="G28"/>
  <c r="H41"/>
  <c r="H38"/>
  <c r="A143" i="25"/>
  <c r="A150" s="1"/>
  <c r="A157" s="1"/>
  <c r="A164" s="1"/>
  <c r="A113"/>
  <c r="A120" s="1"/>
  <c r="A127" s="1"/>
  <c r="A134" s="1"/>
  <c r="G20" i="3"/>
  <c r="H15" i="4"/>
  <c r="E16" i="18"/>
  <c r="E14" i="9"/>
  <c r="E20" s="1"/>
  <c r="E21" i="18"/>
  <c r="F14"/>
  <c r="F21" s="1"/>
  <c r="F14" i="20"/>
  <c r="F17" s="1"/>
  <c r="F8" i="9"/>
  <c r="F10" s="1"/>
  <c r="F20" i="20"/>
  <c r="C11" i="5"/>
  <c r="D32" i="2"/>
  <c r="D30" s="1"/>
  <c r="D32" i="4"/>
  <c r="C8" i="5"/>
  <c r="D33" i="4"/>
  <c r="E29"/>
  <c r="H178" i="25"/>
  <c r="H173"/>
  <c r="G178"/>
  <c r="G173"/>
  <c r="F12" i="4"/>
  <c r="F9" s="1"/>
  <c r="F23" s="1"/>
  <c r="F180" i="25"/>
  <c r="C51" i="4"/>
  <c r="C53" s="1"/>
  <c r="G15" i="3"/>
  <c r="G22" s="1"/>
  <c r="G24" s="1"/>
  <c r="F37" i="4"/>
  <c r="D50" i="11"/>
  <c r="G42" i="9"/>
  <c r="G43" s="1"/>
  <c r="A142" i="25"/>
  <c r="A149" s="1"/>
  <c r="A156" s="1"/>
  <c r="A163" s="1"/>
  <c r="A112"/>
  <c r="A119" s="1"/>
  <c r="A126" s="1"/>
  <c r="A133" s="1"/>
  <c r="D30" i="20"/>
  <c r="E28"/>
  <c r="D49" i="4"/>
  <c r="C23" i="5"/>
  <c r="C22"/>
  <c r="B51" i="11"/>
  <c r="B17" i="5"/>
  <c r="B14"/>
  <c r="G10" i="18"/>
  <c r="F13" i="29"/>
  <c r="C16" i="11"/>
  <c r="C22"/>
  <c r="D22"/>
  <c r="C36"/>
  <c r="D42"/>
  <c r="C42"/>
  <c r="H14" i="9"/>
  <c r="H20" s="1"/>
  <c r="H24" i="3"/>
  <c r="F26" i="2"/>
  <c r="F31" i="11" l="1"/>
  <c r="F9"/>
  <c r="F16" s="1"/>
  <c r="L14" s="1"/>
  <c r="H8" i="9"/>
  <c r="H10" s="1"/>
  <c r="H14" i="20"/>
  <c r="H17" s="1"/>
  <c r="H14" i="18"/>
  <c r="H20" i="20"/>
  <c r="B52" i="11"/>
  <c r="B53" s="1"/>
  <c r="G14" i="18"/>
  <c r="G8" i="9"/>
  <c r="G10" s="1"/>
  <c r="G14" i="20"/>
  <c r="G20"/>
  <c r="F21"/>
  <c r="E44" i="4"/>
  <c r="E42" s="1"/>
  <c r="D31" i="2"/>
  <c r="H44" i="9"/>
  <c r="H40"/>
  <c r="G30"/>
  <c r="G31" s="1"/>
  <c r="E13" i="5"/>
  <c r="E12"/>
  <c r="L30" i="11"/>
  <c r="M30" s="1"/>
  <c r="C38"/>
  <c r="L11"/>
  <c r="M11" s="1"/>
  <c r="D18"/>
  <c r="C18"/>
  <c r="D51" i="4"/>
  <c r="D53" s="1"/>
  <c r="D54" s="1"/>
  <c r="C18" i="5"/>
  <c r="G10" i="4"/>
  <c r="G9" s="1"/>
  <c r="G180" i="25"/>
  <c r="H10" i="4"/>
  <c r="H9" s="1"/>
  <c r="H23" s="1"/>
  <c r="H180" i="25"/>
  <c r="C17" i="5"/>
  <c r="C51" i="11"/>
  <c r="E9"/>
  <c r="E31"/>
  <c r="F23" i="18"/>
  <c r="E23"/>
  <c r="H26" i="9"/>
  <c r="H29"/>
  <c r="H98" s="1"/>
  <c r="H23" i="20" s="1"/>
  <c r="G95" i="9"/>
  <c r="G39" i="4" s="1"/>
  <c r="E28" i="5"/>
  <c r="G23" i="4"/>
  <c r="F16" i="18"/>
  <c r="C14" i="5"/>
  <c r="F26" i="20"/>
  <c r="F27" s="1"/>
  <c r="F28" s="1"/>
  <c r="G9" i="18"/>
  <c r="G12" s="1"/>
  <c r="F12" i="5"/>
  <c r="G9" i="20"/>
  <c r="F27" i="5"/>
  <c r="E30" i="20"/>
  <c r="G17" l="1"/>
  <c r="G97" i="9"/>
  <c r="F28" i="2" s="1"/>
  <c r="G13" i="5"/>
  <c r="G12"/>
  <c r="F30" i="20"/>
  <c r="F13" i="5"/>
  <c r="E42" i="11"/>
  <c r="F42"/>
  <c r="G14" i="9"/>
  <c r="G20" s="1"/>
  <c r="G16" i="18"/>
  <c r="G21"/>
  <c r="G37" i="4"/>
  <c r="E50" i="11"/>
  <c r="H28" i="9"/>
  <c r="H32"/>
  <c r="H95" s="1"/>
  <c r="H39" i="4" s="1"/>
  <c r="E16" i="11"/>
  <c r="F22"/>
  <c r="E22"/>
  <c r="M12"/>
  <c r="N11"/>
  <c r="N30"/>
  <c r="H43" i="9"/>
  <c r="H42"/>
  <c r="D11" i="5"/>
  <c r="D8"/>
  <c r="E32" i="4"/>
  <c r="E32" i="2"/>
  <c r="E30" s="1"/>
  <c r="H16" i="18"/>
  <c r="H21"/>
  <c r="F29" i="2"/>
  <c r="B54" i="11"/>
  <c r="B60" s="1"/>
  <c r="C33" s="1"/>
  <c r="C54"/>
  <c r="C52"/>
  <c r="C53" s="1"/>
  <c r="E49" i="4"/>
  <c r="D23" i="5"/>
  <c r="D22"/>
  <c r="G24" i="20" l="1"/>
  <c r="F19" i="5"/>
  <c r="N12" i="11"/>
  <c r="L13"/>
  <c r="M13" s="1"/>
  <c r="F18"/>
  <c r="E18"/>
  <c r="H30" i="9"/>
  <c r="H31" s="1"/>
  <c r="D18" i="5"/>
  <c r="H31" i="11"/>
  <c r="E33" i="4"/>
  <c r="F29"/>
  <c r="F28" i="5"/>
  <c r="G21" i="20"/>
  <c r="G26" s="1"/>
  <c r="G27" s="1"/>
  <c r="G28" s="1"/>
  <c r="F44" i="4"/>
  <c r="F42" s="1"/>
  <c r="E31" i="2"/>
  <c r="F50" i="11"/>
  <c r="H37" i="4"/>
  <c r="G31" i="11"/>
  <c r="G9"/>
  <c r="H23" i="18"/>
  <c r="G23"/>
  <c r="C60" i="11"/>
  <c r="D33" s="1"/>
  <c r="D34" s="1"/>
  <c r="H97" i="9" l="1"/>
  <c r="G28" i="2" s="1"/>
  <c r="H9" i="11" s="1"/>
  <c r="N13"/>
  <c r="M14"/>
  <c r="G16"/>
  <c r="H22"/>
  <c r="G22"/>
  <c r="E8" i="5"/>
  <c r="F32" i="4"/>
  <c r="E11" i="5"/>
  <c r="F32" i="2"/>
  <c r="F30" s="1"/>
  <c r="G30" i="20"/>
  <c r="F33" i="4"/>
  <c r="E14" i="5" s="1"/>
  <c r="G29" i="4"/>
  <c r="I9" i="11"/>
  <c r="I16" s="1"/>
  <c r="L17" s="1"/>
  <c r="H16"/>
  <c r="L16" s="1"/>
  <c r="H24" i="20"/>
  <c r="G19" i="5"/>
  <c r="G29" i="2"/>
  <c r="D36" i="11"/>
  <c r="G42"/>
  <c r="H42"/>
  <c r="F49" i="4"/>
  <c r="E23" i="5"/>
  <c r="E22"/>
  <c r="D17"/>
  <c r="D51" i="11"/>
  <c r="D14" i="5"/>
  <c r="E51" i="4"/>
  <c r="E53" s="1"/>
  <c r="E54" s="1"/>
  <c r="I22" i="11" l="1"/>
  <c r="C24" s="1"/>
  <c r="D54"/>
  <c r="D52"/>
  <c r="D53" s="1"/>
  <c r="F51" i="4"/>
  <c r="F53" s="1"/>
  <c r="F54" s="1"/>
  <c r="E18" i="5"/>
  <c r="L15" i="11"/>
  <c r="M15" s="1"/>
  <c r="G18"/>
  <c r="I18"/>
  <c r="C20" s="1"/>
  <c r="H18"/>
  <c r="L31"/>
  <c r="M31" s="1"/>
  <c r="D38"/>
  <c r="G28" i="5"/>
  <c r="E17"/>
  <c r="E51" i="11"/>
  <c r="H21" i="20"/>
  <c r="H26" s="1"/>
  <c r="H27" s="1"/>
  <c r="H28" s="1"/>
  <c r="H30" s="1"/>
  <c r="G44" i="4"/>
  <c r="G42" s="1"/>
  <c r="F31" i="2"/>
  <c r="N14" i="11"/>
  <c r="N15" l="1"/>
  <c r="M16"/>
  <c r="G49" i="4"/>
  <c r="F23" i="5"/>
  <c r="F22"/>
  <c r="E52" i="11"/>
  <c r="E53" s="1"/>
  <c r="D60"/>
  <c r="E33" s="1"/>
  <c r="E34" s="1"/>
  <c r="G32" i="2"/>
  <c r="G30" s="1"/>
  <c r="G32" i="4"/>
  <c r="F11" i="5"/>
  <c r="F8"/>
  <c r="N31" i="11"/>
  <c r="H44" i="4" l="1"/>
  <c r="H42" s="1"/>
  <c r="G31" i="2"/>
  <c r="H29" i="4"/>
  <c r="G33"/>
  <c r="G51" s="1"/>
  <c r="G53" s="1"/>
  <c r="G54" s="1"/>
  <c r="E36" i="11"/>
  <c r="E54"/>
  <c r="F18" i="5"/>
  <c r="N16" i="11"/>
  <c r="C26" s="1"/>
  <c r="M17"/>
  <c r="N17" s="1"/>
  <c r="E60"/>
  <c r="F33" s="1"/>
  <c r="F34" s="1"/>
  <c r="F36" l="1"/>
  <c r="L33" s="1"/>
  <c r="L32"/>
  <c r="M32" s="1"/>
  <c r="E38"/>
  <c r="F38"/>
  <c r="F17" i="5"/>
  <c r="F51" i="11"/>
  <c r="F14" i="5"/>
  <c r="H32" i="4"/>
  <c r="H33" s="1"/>
  <c r="G8" i="5"/>
  <c r="G11"/>
  <c r="H49" i="4"/>
  <c r="G23" i="5"/>
  <c r="G22"/>
  <c r="G17" l="1"/>
  <c r="G51" i="11"/>
  <c r="G14" i="5"/>
  <c r="H51" i="4"/>
  <c r="H53" s="1"/>
  <c r="H54" s="1"/>
  <c r="G18" i="5"/>
  <c r="F52" i="11"/>
  <c r="F53" s="1"/>
  <c r="M33"/>
  <c r="N32"/>
  <c r="N33" l="1"/>
  <c r="G54"/>
  <c r="G52"/>
  <c r="G53" s="1"/>
  <c r="F54"/>
  <c r="F60" s="1"/>
  <c r="G33" s="1"/>
  <c r="G34" s="1"/>
  <c r="G36" l="1"/>
  <c r="G60"/>
  <c r="H33" s="1"/>
  <c r="I33" s="1"/>
  <c r="I31" s="1"/>
  <c r="H34" l="1"/>
  <c r="I34"/>
  <c r="H36"/>
  <c r="L35" s="1"/>
  <c r="I36"/>
  <c r="I42"/>
  <c r="C44" s="1"/>
  <c r="L34"/>
  <c r="M34" s="1"/>
  <c r="G38"/>
  <c r="H38"/>
  <c r="N34" l="1"/>
  <c r="M35"/>
  <c r="N35" s="1"/>
  <c r="C46" s="1"/>
  <c r="I38"/>
  <c r="C40" s="1"/>
</calcChain>
</file>

<file path=xl/sharedStrings.xml><?xml version="1.0" encoding="utf-8"?>
<sst xmlns="http://schemas.openxmlformats.org/spreadsheetml/2006/main" count="615" uniqueCount="428">
  <si>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</si>
  <si>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</si>
  <si>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</si>
  <si>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</si>
  <si>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</si>
  <si>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</si>
  <si>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</si>
  <si>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</si>
  <si>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</si>
  <si>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</si>
  <si>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</si>
  <si>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</si>
  <si>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</si>
  <si>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</si>
  <si>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</si>
  <si>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</si>
  <si>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</si>
  <si>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</si>
  <si>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</si>
  <si>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</si>
  <si>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</si>
  <si>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</si>
  <si>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</si>
  <si>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</si>
  <si>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</si>
  <si>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</si>
  <si>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</si>
  <si>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</si>
  <si>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</si>
  <si>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</si>
  <si>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</si>
  <si>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</si>
  <si>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</si>
  <si>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</si>
  <si>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</si>
  <si>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</si>
  <si>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</si>
  <si>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</si>
  <si>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</si>
  <si>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</si>
  <si>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</si>
  <si>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</si>
  <si>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</si>
  <si>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</si>
  <si>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</si>
  <si>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</si>
  <si>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</si>
  <si>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</si>
  <si>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</si>
  <si>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</si>
  <si>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</si>
  <si>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</si>
  <si>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</si>
  <si>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</si>
  <si>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</si>
  <si>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</si>
  <si>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</si>
  <si>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</si>
  <si>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</si>
  <si>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</si>
  <si>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</si>
  <si>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</si>
  <si>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</si>
  <si>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</si>
  <si>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</si>
  <si>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</si>
  <si>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</si>
  <si>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</si>
  <si>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</si>
  <si>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</si>
  <si>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</si>
  <si>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</si>
  <si>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</si>
  <si>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</si>
  <si>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</si>
  <si>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</si>
  <si>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</si>
  <si>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</si>
  <si>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</si>
  <si>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</si>
  <si>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</si>
  <si>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</si>
  <si>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</si>
  <si>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</si>
  <si>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</si>
  <si>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</si>
  <si>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</si>
  <si>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</si>
  <si>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</si>
  <si>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</si>
  <si>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</si>
  <si>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</si>
  <si>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</si>
  <si>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</si>
  <si>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</si>
  <si>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</si>
  <si>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</si>
  <si>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</si>
  <si>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</si>
  <si>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</si>
  <si>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</si>
  <si>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</si>
  <si>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</si>
  <si>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</si>
  <si>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</si>
  <si>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</si>
  <si>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</si>
  <si>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</si>
  <si>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</si>
  <si>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</si>
  <si>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</si>
  <si>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</si>
  <si>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</si>
  <si>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</si>
  <si>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</si>
  <si>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</si>
  <si>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</si>
  <si>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</si>
  <si>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</si>
  <si>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</si>
  <si>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</si>
  <si>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</si>
  <si>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</si>
  <si>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</si>
  <si>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</si>
  <si>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</si>
  <si>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</si>
  <si>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</si>
  <si>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</si>
  <si>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</si>
  <si>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</si>
  <si>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</si>
  <si>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</si>
  <si>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</si>
  <si>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</si>
  <si>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</si>
  <si>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</si>
  <si>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</si>
  <si>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</si>
  <si>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</si>
  <si>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</si>
  <si>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</si>
  <si>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</si>
  <si>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</si>
  <si>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</si>
  <si>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</si>
  <si>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</si>
  <si>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</si>
  <si>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</si>
  <si>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</si>
  <si>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</si>
  <si>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</si>
  <si>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</si>
  <si>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</si>
  <si>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</si>
  <si>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</si>
  <si>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</si>
  <si>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</si>
  <si>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</si>
  <si>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</si>
  <si>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</si>
  <si>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</si>
  <si>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</si>
  <si>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</si>
  <si>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</si>
  <si>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</si>
  <si>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</si>
  <si>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</si>
  <si>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</si>
  <si>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</si>
  <si>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</si>
  <si>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</si>
  <si>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</si>
  <si>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</si>
  <si>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</si>
  <si>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</si>
  <si>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</si>
  <si>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</si>
  <si>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</si>
  <si>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</si>
  <si>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</si>
  <si>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</si>
  <si>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</si>
  <si>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</si>
  <si>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</si>
  <si>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</si>
  <si>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</si>
  <si>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</si>
  <si>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</si>
  <si>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</si>
  <si>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</si>
  <si>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</si>
  <si>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</si>
  <si>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</si>
  <si>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</si>
  <si>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</si>
  <si>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</si>
  <si>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</si>
  <si>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</si>
  <si>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</si>
  <si>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</si>
  <si>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</si>
  <si>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</si>
  <si>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</si>
  <si>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</si>
  <si>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</si>
  <si>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</si>
  <si>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</si>
  <si>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</si>
  <si>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</si>
  <si>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</si>
  <si>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</si>
  <si>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</si>
  <si>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</si>
  <si>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</si>
  <si>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</si>
  <si>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</si>
  <si>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</si>
  <si>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</si>
  <si>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</si>
  <si>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</si>
  <si>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</si>
  <si>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</si>
  <si>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</si>
  <si>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</si>
  <si>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</si>
  <si>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</si>
  <si>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</si>
  <si>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</si>
  <si>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</si>
  <si>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</si>
  <si>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</si>
  <si>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</si>
  <si>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</si>
  <si>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</si>
  <si>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</si>
  <si>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</si>
  <si>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</si>
  <si>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</si>
  <si>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</si>
  <si>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</si>
  <si>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</si>
  <si>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</si>
  <si>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</si>
  <si>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</si>
  <si>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</si>
  <si>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</si>
  <si>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</si>
  <si>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</si>
  <si>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</si>
  <si>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</si>
  <si>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</si>
  <si>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</si>
  <si>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</si>
  <si>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</si>
  <si>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</si>
  <si>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</si>
  <si>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</si>
  <si>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</si>
  <si>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</si>
  <si>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</si>
  <si>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</si>
  <si>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</si>
  <si>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</si>
  <si>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</si>
  <si>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</si>
  <si>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</si>
  <si>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</si>
  <si>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</si>
  <si>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</si>
  <si>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</si>
  <si>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</si>
  <si>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</si>
  <si>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</si>
  <si>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</si>
  <si>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</si>
  <si>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</si>
  <si>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</si>
  <si>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</si>
  <si>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</si>
  <si>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</si>
  <si>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</si>
  <si>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</si>
  <si>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</si>
  <si>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</si>
  <si>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</si>
  <si>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</si>
  <si>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</si>
  <si>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</si>
  <si>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</si>
  <si>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</si>
  <si>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</si>
  <si>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</si>
  <si>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</si>
  <si>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</si>
  <si>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</si>
  <si>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</si>
  <si>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</si>
  <si>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</si>
  <si>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</si>
  <si>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</si>
  <si>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</si>
  <si>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</si>
  <si>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</si>
  <si>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</si>
  <si>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</si>
  <si>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</si>
  <si>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</si>
  <si>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</si>
  <si>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</si>
  <si>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</si>
  <si>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</si>
  <si>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</si>
  <si>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</si>
  <si>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</si>
  <si>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</si>
  <si>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</si>
  <si>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</si>
  <si>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</si>
  <si>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</si>
  <si>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</si>
  <si>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</si>
  <si>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</si>
  <si>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</si>
  <si>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</si>
  <si>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</si>
  <si>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</si>
  <si>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</si>
  <si>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</si>
  <si>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</si>
  <si>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</si>
  <si>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</si>
  <si>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</si>
  <si>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</si>
  <si>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</si>
  <si>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</si>
  <si>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</si>
  <si>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</si>
  <si>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</si>
  <si>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</si>
  <si>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</si>
  <si>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</si>
  <si>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</si>
  <si>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</si>
  <si>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</si>
  <si>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</si>
  <si>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</si>
  <si>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</si>
  <si>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</si>
  <si>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</si>
  <si>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</si>
  <si>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</si>
  <si>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</si>
  <si>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</si>
  <si>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</si>
  <si>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</si>
  <si>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</si>
  <si>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</si>
  <si>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</si>
  <si>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</si>
  <si>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</si>
  <si>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</si>
  <si>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</si>
  <si>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</si>
  <si>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</si>
  <si>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</si>
  <si>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</si>
  <si>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</si>
  <si>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</si>
  <si>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</si>
  <si>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</si>
  <si>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</si>
  <si>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</si>
  <si>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</si>
  <si>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</si>
  <si>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</si>
  <si>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</si>
  <si>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</si>
  <si>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</si>
  <si>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</si>
  <si>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</si>
  <si>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</si>
  <si>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</si>
  <si>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</si>
  <si>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</si>
  <si>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</si>
  <si>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</si>
  <si>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</si>
  <si>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</si>
  <si>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</si>
  <si>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</si>
  <si>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</si>
  <si>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</si>
  <si>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</si>
  <si>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</si>
  <si>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</si>
  <si>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</si>
  <si>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</si>
  <si>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</si>
  <si>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</si>
  <si>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</si>
  <si>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</si>
  <si>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</si>
  <si>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</si>
  <si>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</si>
  <si>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</si>
  <si>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</si>
  <si>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</si>
  <si>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</si>
  <si>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</si>
  <si>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</si>
  <si>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</si>
  <si>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</si>
  <si>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</si>
  <si>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</si>
  <si>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</si>
  <si>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</si>
  <si>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</si>
  <si>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</si>
  <si>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</si>
  <si>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</si>
  <si>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</si>
  <si>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</si>
  <si>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Portugal OutofTrack</t>
  </si>
  <si>
    <t>Comissões outros serviços</t>
  </si>
  <si>
    <t>Comissões Venda Second Home maioritariamente emigrantes</t>
  </si>
  <si>
    <t>Comissões Venda Second Home estrangeiros</t>
  </si>
  <si>
    <t>Comissões outros serviços referenciados</t>
  </si>
</sst>
</file>

<file path=xl/styles.xml><?xml version="1.0" encoding="utf-8"?>
<styleSheet xmlns="http://schemas.openxmlformats.org/spreadsheetml/2006/main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5" formatCode="#,##0_ ;\-#,##0\ "/>
    <numFmt numFmtId="179" formatCode="0.000%"/>
  </numFmts>
  <fonts count="39">
    <font>
      <sz val="10"/>
      <name val="Tahoma"/>
      <family val="2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/>
      <sz val="8"/>
      <name val="Arial Narrow"/>
      <family val="2"/>
    </font>
    <font>
      <b/>
      <sz val="8"/>
      <color indexed="12"/>
      <name val="Arial Narrow"/>
      <family val="2"/>
    </font>
    <font>
      <b/>
      <i/>
      <u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  <charset val="2"/>
    </font>
    <font>
      <sz val="10"/>
      <name val="Arial Narrow"/>
      <family val="2"/>
    </font>
    <font>
      <b/>
      <u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sz val="8"/>
      <color indexed="62"/>
      <name val="Arial Narrow"/>
      <family val="2"/>
    </font>
    <font>
      <sz val="8"/>
      <color indexed="10"/>
      <name val="Arial Narrow"/>
      <family val="2"/>
    </font>
    <font>
      <sz val="8"/>
      <color indexed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63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  <diagonal/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  <diagonal/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  <diagonal/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1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ill="0" applyBorder="0" applyAlignment="0"/>
    <xf numFmtId="43" fontId="1" fillId="0" borderId="0" applyFont="0" applyFill="0" applyBorder="0" applyAlignment="0" applyProtection="0"/>
  </cellStyleXfs>
  <cellXfs count="521">
    <xf numFmtId="0" fontId="0" fillId="0" borderId="0" xfId="0"/>
    <xf numFmtId="0" fontId="21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168" fontId="5" fillId="0" borderId="2" xfId="0" applyNumberFormat="1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2" borderId="2" xfId="0" applyFont="1" applyFill="1" applyBorder="1" applyProtection="1">
      <protection hidden="1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Protection="1">
      <protection hidden="1"/>
    </xf>
    <xf numFmtId="4" fontId="14" fillId="0" borderId="2" xfId="6" applyNumberFormat="1" applyFont="1" applyFill="1" applyBorder="1" applyAlignment="1" applyProtection="1">
      <alignment horizontal="center"/>
      <protection locked="0"/>
    </xf>
    <xf numFmtId="0" fontId="25" fillId="0" borderId="0" xfId="2" applyFont="1" applyFill="1" applyBorder="1" applyProtection="1">
      <protection hidden="1"/>
    </xf>
    <xf numFmtId="0" fontId="24" fillId="0" borderId="0" xfId="2" applyFont="1" applyFill="1" applyBorder="1" applyAlignment="1" applyProtection="1">
      <alignment horizontal="left"/>
      <protection hidden="1"/>
    </xf>
    <xf numFmtId="0" fontId="24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0" fontId="1" fillId="3" borderId="0" xfId="2" applyFill="1" applyProtection="1">
      <protection hidden="1"/>
    </xf>
    <xf numFmtId="0" fontId="25" fillId="0" borderId="0" xfId="2" applyFont="1" applyFill="1" applyProtection="1">
      <protection hidden="1"/>
    </xf>
    <xf numFmtId="0" fontId="24" fillId="0" borderId="0" xfId="2" applyFont="1" applyFill="1" applyBorder="1" applyProtection="1">
      <protection hidden="1"/>
    </xf>
    <xf numFmtId="0" fontId="5" fillId="0" borderId="0" xfId="2" applyFont="1" applyFill="1" applyBorder="1" applyProtection="1">
      <protection hidden="1"/>
    </xf>
    <xf numFmtId="0" fontId="24" fillId="0" borderId="0" xfId="2" applyFont="1" applyFill="1" applyBorder="1" applyAlignment="1" applyProtection="1">
      <alignment vertical="center" wrapText="1"/>
      <protection hidden="1"/>
    </xf>
    <xf numFmtId="0" fontId="24" fillId="0" borderId="0" xfId="2" applyFont="1" applyFill="1" applyBorder="1" applyAlignment="1" applyProtection="1">
      <alignment vertical="center"/>
      <protection hidden="1"/>
    </xf>
    <xf numFmtId="0" fontId="24" fillId="0" borderId="0" xfId="2" applyFont="1" applyFill="1" applyAlignment="1" applyProtection="1">
      <alignment vertical="center" wrapText="1"/>
      <protection hidden="1"/>
    </xf>
    <xf numFmtId="0" fontId="8" fillId="4" borderId="2" xfId="2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Border="1" applyProtection="1">
      <protection hidden="1"/>
    </xf>
    <xf numFmtId="2" fontId="5" fillId="3" borderId="0" xfId="6" applyNumberFormat="1" applyFont="1" applyFill="1" applyBorder="1" applyProtection="1">
      <protection hidden="1"/>
    </xf>
    <xf numFmtId="0" fontId="5" fillId="3" borderId="0" xfId="0" applyFont="1" applyFill="1" applyBorder="1" applyAlignment="1" applyProtection="1">
      <alignment wrapText="1"/>
      <protection hidden="1"/>
    </xf>
    <xf numFmtId="167" fontId="5" fillId="3" borderId="0" xfId="6" applyNumberFormat="1" applyFont="1" applyFill="1" applyBorder="1" applyProtection="1">
      <protection hidden="1"/>
    </xf>
    <xf numFmtId="10" fontId="5" fillId="3" borderId="0" xfId="6" applyNumberFormat="1" applyFont="1" applyFill="1" applyBorder="1" applyProtection="1">
      <protection hidden="1"/>
    </xf>
    <xf numFmtId="9" fontId="5" fillId="3" borderId="0" xfId="0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9" fontId="5" fillId="0" borderId="0" xfId="6" applyFont="1" applyFill="1" applyProtection="1">
      <protection hidden="1"/>
    </xf>
    <xf numFmtId="2" fontId="5" fillId="0" borderId="0" xfId="6" applyNumberFormat="1" applyFont="1" applyFill="1" applyProtection="1">
      <protection hidden="1"/>
    </xf>
    <xf numFmtId="0" fontId="5" fillId="0" borderId="0" xfId="0" applyFont="1" applyFill="1" applyAlignment="1" applyProtection="1">
      <alignment wrapText="1"/>
      <protection hidden="1"/>
    </xf>
    <xf numFmtId="0" fontId="14" fillId="0" borderId="4" xfId="0" applyFont="1" applyFill="1" applyBorder="1" applyAlignment="1" applyProtection="1">
      <alignment horizontal="right"/>
      <protection locked="0"/>
    </xf>
    <xf numFmtId="172" fontId="14" fillId="0" borderId="4" xfId="0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Protection="1">
      <protection locked="0"/>
    </xf>
    <xf numFmtId="9" fontId="14" fillId="0" borderId="2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hidden="1"/>
    </xf>
    <xf numFmtId="2" fontId="5" fillId="0" borderId="0" xfId="6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9" fontId="14" fillId="0" borderId="5" xfId="6" applyFont="1" applyFill="1" applyBorder="1" applyAlignment="1" applyProtection="1">
      <alignment horizontal="left" indent="1"/>
      <protection hidden="1"/>
    </xf>
    <xf numFmtId="9" fontId="5" fillId="0" borderId="5" xfId="6" applyFont="1" applyFill="1" applyBorder="1" applyProtection="1">
      <protection hidden="1"/>
    </xf>
    <xf numFmtId="10" fontId="14" fillId="0" borderId="2" xfId="0" applyNumberFormat="1" applyFont="1" applyFill="1" applyBorder="1" applyProtection="1">
      <protection locked="0"/>
    </xf>
    <xf numFmtId="10" fontId="14" fillId="0" borderId="3" xfId="0" applyNumberFormat="1" applyFont="1" applyFill="1" applyBorder="1" applyProtection="1">
      <protection locked="0"/>
    </xf>
    <xf numFmtId="9" fontId="14" fillId="0" borderId="5" xfId="6" applyFont="1" applyFill="1" applyBorder="1" applyAlignment="1" applyProtection="1">
      <alignment horizontal="left" vertical="center" indent="1"/>
      <protection hidden="1"/>
    </xf>
    <xf numFmtId="9" fontId="14" fillId="0" borderId="0" xfId="6" applyFont="1" applyFill="1" applyBorder="1" applyAlignment="1" applyProtection="1">
      <alignment horizontal="left" vertical="center" indent="1"/>
      <protection hidden="1"/>
    </xf>
    <xf numFmtId="9" fontId="14" fillId="0" borderId="6" xfId="6" applyFont="1" applyFill="1" applyBorder="1" applyAlignment="1" applyProtection="1">
      <alignment horizontal="left" vertical="center" indent="1"/>
      <protection hidden="1"/>
    </xf>
    <xf numFmtId="2" fontId="14" fillId="0" borderId="3" xfId="0" applyNumberFormat="1" applyFont="1" applyFill="1" applyBorder="1" applyProtection="1">
      <protection locked="0"/>
    </xf>
    <xf numFmtId="0" fontId="7" fillId="5" borderId="0" xfId="0" applyFont="1" applyFill="1" applyAlignment="1" applyProtection="1">
      <alignment horizontal="right"/>
      <protection hidden="1"/>
    </xf>
    <xf numFmtId="10" fontId="14" fillId="0" borderId="2" xfId="6" applyNumberFormat="1" applyFont="1" applyFill="1" applyBorder="1" applyAlignment="1" applyProtection="1">
      <alignment horizontal="center" vertical="center"/>
      <protection locked="0"/>
    </xf>
    <xf numFmtId="168" fontId="5" fillId="0" borderId="2" xfId="0" applyNumberFormat="1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horizontal="right" vertical="center"/>
      <protection locked="0"/>
    </xf>
    <xf numFmtId="168" fontId="5" fillId="0" borderId="7" xfId="0" applyNumberFormat="1" applyFont="1" applyFill="1" applyBorder="1" applyAlignment="1" applyProtection="1">
      <alignment vertical="center"/>
      <protection locked="0"/>
    </xf>
    <xf numFmtId="166" fontId="14" fillId="0" borderId="7" xfId="0" applyNumberFormat="1" applyFont="1" applyFill="1" applyBorder="1" applyAlignment="1" applyProtection="1">
      <alignment horizontal="center" vertical="center"/>
      <protection locked="0"/>
    </xf>
    <xf numFmtId="168" fontId="6" fillId="2" borderId="2" xfId="0" applyNumberFormat="1" applyFont="1" applyFill="1" applyBorder="1" applyAlignment="1" applyProtection="1">
      <alignment vertical="center"/>
    </xf>
    <xf numFmtId="168" fontId="6" fillId="2" borderId="8" xfId="0" applyNumberFormat="1" applyFont="1" applyFill="1" applyBorder="1" applyAlignment="1" applyProtection="1"/>
    <xf numFmtId="166" fontId="5" fillId="0" borderId="7" xfId="0" applyNumberFormat="1" applyFont="1" applyFill="1" applyBorder="1" applyAlignment="1" applyProtection="1">
      <alignment horizontal="center" vertical="center"/>
      <protection locked="0"/>
    </xf>
    <xf numFmtId="9" fontId="14" fillId="0" borderId="2" xfId="6" applyFont="1" applyFill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168" fontId="31" fillId="0" borderId="2" xfId="3" applyNumberFormat="1" applyFont="1" applyFill="1" applyBorder="1" applyProtection="1">
      <protection locked="0"/>
    </xf>
    <xf numFmtId="9" fontId="14" fillId="0" borderId="8" xfId="6" applyFont="1" applyFill="1" applyBorder="1" applyAlignment="1" applyProtection="1">
      <alignment horizontal="center" vertical="center"/>
      <protection locked="0"/>
    </xf>
    <xf numFmtId="9" fontId="14" fillId="0" borderId="2" xfId="6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3" fontId="5" fillId="0" borderId="10" xfId="6" applyNumberFormat="1" applyFont="1" applyFill="1" applyBorder="1" applyAlignment="1" applyProtection="1">
      <alignment horizontal="right" vertical="center"/>
      <protection locked="0"/>
    </xf>
    <xf numFmtId="9" fontId="5" fillId="0" borderId="0" xfId="6" applyFont="1" applyFill="1" applyBorder="1" applyProtection="1">
      <protection hidden="1"/>
    </xf>
    <xf numFmtId="3" fontId="5" fillId="0" borderId="2" xfId="0" applyNumberFormat="1" applyFont="1" applyFill="1" applyBorder="1" applyProtection="1">
      <protection locked="0"/>
    </xf>
    <xf numFmtId="0" fontId="14" fillId="0" borderId="4" xfId="0" applyFont="1" applyFill="1" applyBorder="1" applyAlignment="1" applyProtection="1">
      <alignment horizontal="right"/>
      <protection hidden="1"/>
    </xf>
    <xf numFmtId="0" fontId="10" fillId="0" borderId="0" xfId="0" applyFont="1" applyFill="1" applyProtection="1"/>
    <xf numFmtId="0" fontId="9" fillId="0" borderId="0" xfId="0" applyFont="1" applyFill="1" applyProtection="1"/>
    <xf numFmtId="0" fontId="7" fillId="5" borderId="0" xfId="0" applyFont="1" applyFill="1" applyProtection="1"/>
    <xf numFmtId="0" fontId="4" fillId="5" borderId="0" xfId="0" applyFont="1" applyFill="1" applyAlignment="1" applyProtection="1">
      <alignment horizontal="right"/>
    </xf>
    <xf numFmtId="0" fontId="10" fillId="3" borderId="0" xfId="0" applyFont="1" applyFill="1" applyProtection="1"/>
    <xf numFmtId="0" fontId="8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2" borderId="3" xfId="0" applyFont="1" applyFill="1" applyBorder="1" applyAlignment="1" applyProtection="1">
      <alignment horizontal="left" indent="1"/>
    </xf>
    <xf numFmtId="170" fontId="5" fillId="2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/>
    <xf numFmtId="0" fontId="11" fillId="2" borderId="8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170" fontId="6" fillId="0" borderId="0" xfId="0" applyNumberFormat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>
      <alignment vertical="center"/>
    </xf>
    <xf numFmtId="0" fontId="5" fillId="3" borderId="0" xfId="0" applyFont="1" applyFill="1" applyProtection="1"/>
    <xf numFmtId="0" fontId="6" fillId="2" borderId="3" xfId="0" applyFont="1" applyFill="1" applyBorder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left" vertical="center"/>
    </xf>
    <xf numFmtId="170" fontId="6" fillId="0" borderId="0" xfId="0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center"/>
    </xf>
    <xf numFmtId="168" fontId="6" fillId="2" borderId="2" xfId="0" applyNumberFormat="1" applyFont="1" applyFill="1" applyBorder="1" applyAlignment="1" applyProtection="1"/>
    <xf numFmtId="0" fontId="11" fillId="2" borderId="8" xfId="0" applyFont="1" applyFill="1" applyBorder="1" applyAlignment="1" applyProtection="1">
      <alignment horizontal="left"/>
    </xf>
    <xf numFmtId="9" fontId="14" fillId="0" borderId="0" xfId="6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10" fillId="3" borderId="0" xfId="0" applyFont="1" applyFill="1" applyBorder="1" applyProtection="1"/>
    <xf numFmtId="0" fontId="11" fillId="2" borderId="11" xfId="0" applyFont="1" applyFill="1" applyBorder="1" applyAlignment="1" applyProtection="1"/>
    <xf numFmtId="0" fontId="6" fillId="2" borderId="4" xfId="0" applyFont="1" applyFill="1" applyBorder="1" applyAlignment="1" applyProtection="1">
      <alignment horizontal="center"/>
    </xf>
    <xf numFmtId="168" fontId="6" fillId="0" borderId="2" xfId="0" applyNumberFormat="1" applyFont="1" applyFill="1" applyBorder="1" applyAlignment="1" applyProtection="1">
      <protection locked="0"/>
    </xf>
    <xf numFmtId="9" fontId="14" fillId="2" borderId="8" xfId="6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/>
    </xf>
    <xf numFmtId="10" fontId="14" fillId="2" borderId="2" xfId="6" applyNumberFormat="1" applyFont="1" applyFill="1" applyBorder="1" applyAlignment="1" applyProtection="1">
      <alignment horizontal="right" vertical="center"/>
    </xf>
    <xf numFmtId="168" fontId="5" fillId="2" borderId="8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indent="1"/>
    </xf>
    <xf numFmtId="0" fontId="26" fillId="0" borderId="0" xfId="0" applyFont="1" applyFill="1" applyAlignment="1" applyProtection="1">
      <alignment horizontal="left"/>
    </xf>
    <xf numFmtId="0" fontId="26" fillId="3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4" fillId="5" borderId="0" xfId="0" applyFont="1" applyFill="1" applyProtection="1"/>
    <xf numFmtId="0" fontId="6" fillId="2" borderId="1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/>
    <xf numFmtId="0" fontId="6" fillId="2" borderId="12" xfId="0" applyFont="1" applyFill="1" applyBorder="1" applyAlignment="1" applyProtection="1"/>
    <xf numFmtId="0" fontId="5" fillId="2" borderId="12" xfId="0" applyFont="1" applyFill="1" applyBorder="1" applyProtection="1"/>
    <xf numFmtId="0" fontId="5" fillId="2" borderId="4" xfId="0" applyFont="1" applyFill="1" applyBorder="1" applyProtection="1"/>
    <xf numFmtId="9" fontId="14" fillId="2" borderId="2" xfId="6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/>
    <xf numFmtId="38" fontId="5" fillId="2" borderId="2" xfId="0" applyNumberFormat="1" applyFont="1" applyFill="1" applyBorder="1" applyProtection="1"/>
    <xf numFmtId="166" fontId="14" fillId="2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/>
    </xf>
    <xf numFmtId="38" fontId="12" fillId="0" borderId="0" xfId="0" applyNumberFormat="1" applyFont="1" applyFill="1" applyProtection="1"/>
    <xf numFmtId="38" fontId="5" fillId="0" borderId="0" xfId="0" applyNumberFormat="1" applyFont="1" applyFill="1" applyAlignment="1" applyProtection="1">
      <alignment horizontal="center"/>
    </xf>
    <xf numFmtId="0" fontId="5" fillId="2" borderId="3" xfId="0" applyFont="1" applyFill="1" applyBorder="1" applyAlignment="1" applyProtection="1"/>
    <xf numFmtId="0" fontId="6" fillId="0" borderId="12" xfId="0" applyFont="1" applyFill="1" applyBorder="1" applyAlignment="1" applyProtection="1"/>
    <xf numFmtId="0" fontId="5" fillId="0" borderId="12" xfId="0" applyFont="1" applyFill="1" applyBorder="1" applyProtection="1"/>
    <xf numFmtId="0" fontId="6" fillId="0" borderId="13" xfId="0" applyFont="1" applyFill="1" applyBorder="1" applyAlignment="1" applyProtection="1"/>
    <xf numFmtId="0" fontId="5" fillId="0" borderId="13" xfId="0" applyFont="1" applyFill="1" applyBorder="1" applyProtection="1"/>
    <xf numFmtId="166" fontId="6" fillId="2" borderId="8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/>
    <xf numFmtId="0" fontId="5" fillId="2" borderId="13" xfId="0" applyFont="1" applyFill="1" applyBorder="1" applyProtection="1"/>
    <xf numFmtId="38" fontId="5" fillId="0" borderId="0" xfId="0" applyNumberFormat="1" applyFont="1" applyFill="1" applyBorder="1" applyAlignment="1" applyProtection="1">
      <alignment horizontal="left"/>
    </xf>
    <xf numFmtId="38" fontId="5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/>
    <xf numFmtId="168" fontId="5" fillId="0" borderId="0" xfId="0" applyNumberFormat="1" applyFont="1" applyFill="1" applyBorder="1" applyAlignment="1" applyProtection="1">
      <alignment vertical="center"/>
    </xf>
    <xf numFmtId="168" fontId="5" fillId="2" borderId="2" xfId="0" applyNumberFormat="1" applyFont="1" applyFill="1" applyBorder="1" applyAlignment="1" applyProtection="1">
      <alignment horizontal="right" vertical="center"/>
    </xf>
    <xf numFmtId="168" fontId="6" fillId="2" borderId="8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center"/>
    </xf>
    <xf numFmtId="168" fontId="5" fillId="0" borderId="0" xfId="0" applyNumberFormat="1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 indent="1"/>
    </xf>
    <xf numFmtId="10" fontId="5" fillId="2" borderId="2" xfId="6" applyNumberFormat="1" applyFont="1" applyFill="1" applyBorder="1" applyAlignment="1" applyProtection="1">
      <alignment horizontal="center"/>
    </xf>
    <xf numFmtId="168" fontId="5" fillId="2" borderId="2" xfId="0" applyNumberFormat="1" applyFont="1" applyFill="1" applyBorder="1" applyProtection="1"/>
    <xf numFmtId="38" fontId="5" fillId="2" borderId="3" xfId="0" applyNumberFormat="1" applyFont="1" applyFill="1" applyBorder="1" applyProtection="1"/>
    <xf numFmtId="38" fontId="5" fillId="2" borderId="4" xfId="0" applyNumberFormat="1" applyFont="1" applyFill="1" applyBorder="1" applyProtection="1"/>
    <xf numFmtId="168" fontId="5" fillId="2" borderId="4" xfId="0" applyNumberFormat="1" applyFont="1" applyFill="1" applyBorder="1" applyAlignment="1" applyProtection="1">
      <alignment vertical="center"/>
    </xf>
    <xf numFmtId="0" fontId="5" fillId="2" borderId="0" xfId="0" applyFont="1" applyFill="1" applyProtection="1"/>
    <xf numFmtId="9" fontId="5" fillId="2" borderId="0" xfId="6" applyFont="1" applyFill="1" applyBorder="1" applyAlignment="1" applyProtection="1">
      <alignment horizontal="left"/>
    </xf>
    <xf numFmtId="0" fontId="5" fillId="2" borderId="9" xfId="0" applyFont="1" applyFill="1" applyBorder="1" applyProtection="1"/>
    <xf numFmtId="9" fontId="5" fillId="2" borderId="4" xfId="6" applyFont="1" applyFill="1" applyBorder="1" applyAlignment="1" applyProtection="1">
      <alignment horizontal="left"/>
    </xf>
    <xf numFmtId="38" fontId="5" fillId="0" borderId="0" xfId="0" applyNumberFormat="1" applyFont="1" applyFill="1" applyBorder="1" applyAlignment="1" applyProtection="1"/>
    <xf numFmtId="0" fontId="5" fillId="2" borderId="3" xfId="0" applyFont="1" applyFill="1" applyBorder="1" applyProtection="1"/>
    <xf numFmtId="0" fontId="5" fillId="2" borderId="12" xfId="0" applyFont="1" applyFill="1" applyBorder="1" applyAlignment="1" applyProtection="1">
      <alignment horizontal="left" indent="1"/>
    </xf>
    <xf numFmtId="9" fontId="5" fillId="2" borderId="14" xfId="6" applyFont="1" applyFill="1" applyBorder="1" applyAlignment="1" applyProtection="1">
      <alignment horizontal="left"/>
    </xf>
    <xf numFmtId="38" fontId="6" fillId="0" borderId="0" xfId="0" applyNumberFormat="1" applyFont="1" applyFill="1" applyBorder="1" applyProtection="1"/>
    <xf numFmtId="9" fontId="5" fillId="3" borderId="0" xfId="6" applyFont="1" applyFill="1" applyBorder="1" applyAlignment="1" applyProtection="1">
      <alignment horizontal="left"/>
    </xf>
    <xf numFmtId="168" fontId="5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 indent="1"/>
    </xf>
    <xf numFmtId="166" fontId="5" fillId="2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7" fillId="5" borderId="0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6" fillId="2" borderId="3" xfId="0" applyFont="1" applyFill="1" applyBorder="1" applyProtection="1"/>
    <xf numFmtId="38" fontId="5" fillId="2" borderId="12" xfId="0" applyNumberFormat="1" applyFont="1" applyFill="1" applyBorder="1" applyProtection="1"/>
    <xf numFmtId="1" fontId="5" fillId="2" borderId="2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Protection="1"/>
    <xf numFmtId="3" fontId="5" fillId="2" borderId="2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Protection="1"/>
    <xf numFmtId="3" fontId="6" fillId="2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indent="1"/>
    </xf>
    <xf numFmtId="3" fontId="5" fillId="0" borderId="15" xfId="0" applyNumberFormat="1" applyFont="1" applyFill="1" applyBorder="1" applyAlignment="1" applyProtection="1">
      <alignment horizontal="center"/>
    </xf>
    <xf numFmtId="3" fontId="5" fillId="0" borderId="15" xfId="0" applyNumberFormat="1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 indent="2"/>
    </xf>
    <xf numFmtId="0" fontId="6" fillId="0" borderId="17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 indent="2"/>
    </xf>
    <xf numFmtId="0" fontId="27" fillId="0" borderId="0" xfId="0" applyFont="1" applyFill="1" applyProtection="1"/>
    <xf numFmtId="3" fontId="5" fillId="0" borderId="0" xfId="0" applyNumberFormat="1" applyFont="1" applyFill="1" applyBorder="1" applyProtection="1"/>
    <xf numFmtId="3" fontId="5" fillId="3" borderId="0" xfId="0" applyNumberFormat="1" applyFont="1" applyFill="1" applyProtection="1"/>
    <xf numFmtId="3" fontId="5" fillId="3" borderId="0" xfId="0" applyNumberFormat="1" applyFont="1" applyFill="1" applyBorder="1" applyProtection="1"/>
    <xf numFmtId="0" fontId="11" fillId="0" borderId="0" xfId="3" applyFont="1" applyFill="1" applyBorder="1" applyAlignment="1" applyProtection="1">
      <alignment horizontal="center"/>
    </xf>
    <xf numFmtId="0" fontId="5" fillId="3" borderId="0" xfId="3" applyFont="1" applyFill="1" applyProtection="1"/>
    <xf numFmtId="0" fontId="6" fillId="0" borderId="15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 applyProtection="1">
      <alignment horizontal="center"/>
    </xf>
    <xf numFmtId="0" fontId="6" fillId="2" borderId="3" xfId="3" applyFont="1" applyFill="1" applyBorder="1" applyProtection="1"/>
    <xf numFmtId="0" fontId="5" fillId="2" borderId="4" xfId="3" applyFont="1" applyFill="1" applyBorder="1" applyProtection="1"/>
    <xf numFmtId="0" fontId="5" fillId="2" borderId="3" xfId="3" applyFont="1" applyFill="1" applyBorder="1" applyProtection="1"/>
    <xf numFmtId="3" fontId="14" fillId="2" borderId="2" xfId="3" applyNumberFormat="1" applyFont="1" applyFill="1" applyBorder="1" applyProtection="1"/>
    <xf numFmtId="3" fontId="6" fillId="2" borderId="2" xfId="3" applyNumberFormat="1" applyFont="1" applyFill="1" applyBorder="1" applyAlignment="1" applyProtection="1"/>
    <xf numFmtId="3" fontId="6" fillId="2" borderId="8" xfId="3" applyNumberFormat="1" applyFont="1" applyFill="1" applyBorder="1" applyAlignment="1" applyProtection="1">
      <alignment horizontal="right"/>
    </xf>
    <xf numFmtId="168" fontId="6" fillId="0" borderId="0" xfId="3" applyNumberFormat="1" applyFont="1" applyFill="1" applyBorder="1" applyAlignment="1" applyProtection="1">
      <alignment horizontal="left" vertical="center"/>
    </xf>
    <xf numFmtId="3" fontId="6" fillId="0" borderId="0" xfId="3" applyNumberFormat="1" applyFont="1" applyFill="1" applyBorder="1" applyAlignment="1" applyProtection="1">
      <alignment horizontal="right"/>
    </xf>
    <xf numFmtId="168" fontId="6" fillId="2" borderId="11" xfId="3" applyNumberFormat="1" applyFont="1" applyFill="1" applyBorder="1" applyAlignment="1" applyProtection="1">
      <alignment vertical="center"/>
    </xf>
    <xf numFmtId="0" fontId="13" fillId="0" borderId="0" xfId="3" applyFont="1" applyFill="1" applyBorder="1" applyProtection="1"/>
    <xf numFmtId="0" fontId="5" fillId="0" borderId="0" xfId="3" applyFont="1" applyFill="1" applyBorder="1" applyProtection="1"/>
    <xf numFmtId="168" fontId="5" fillId="0" borderId="0" xfId="3" applyNumberFormat="1" applyFont="1" applyFill="1" applyProtection="1"/>
    <xf numFmtId="3" fontId="31" fillId="2" borderId="2" xfId="3" applyNumberFormat="1" applyFont="1" applyFill="1" applyBorder="1" applyProtection="1"/>
    <xf numFmtId="0" fontId="11" fillId="2" borderId="3" xfId="3" applyFont="1" applyFill="1" applyBorder="1" applyAlignment="1" applyProtection="1">
      <alignment horizontal="center"/>
    </xf>
    <xf numFmtId="0" fontId="11" fillId="2" borderId="4" xfId="3" applyFont="1" applyFill="1" applyBorder="1" applyAlignment="1" applyProtection="1">
      <alignment horizontal="center"/>
    </xf>
    <xf numFmtId="0" fontId="6" fillId="2" borderId="11" xfId="0" applyFont="1" applyFill="1" applyBorder="1" applyProtection="1"/>
    <xf numFmtId="0" fontId="5" fillId="2" borderId="18" xfId="0" applyFont="1" applyFill="1" applyBorder="1" applyProtection="1"/>
    <xf numFmtId="0" fontId="5" fillId="0" borderId="0" xfId="0" applyFont="1" applyFill="1" applyAlignment="1" applyProtection="1">
      <alignment horizontal="fill"/>
    </xf>
    <xf numFmtId="167" fontId="5" fillId="0" borderId="0" xfId="0" applyNumberFormat="1" applyFont="1" applyFill="1" applyProtection="1"/>
    <xf numFmtId="170" fontId="5" fillId="0" borderId="0" xfId="0" applyNumberFormat="1" applyFont="1" applyFill="1" applyProtection="1"/>
    <xf numFmtId="0" fontId="6" fillId="0" borderId="0" xfId="0" applyFont="1" applyFill="1" applyProtection="1"/>
    <xf numFmtId="3" fontId="5" fillId="2" borderId="7" xfId="0" applyNumberFormat="1" applyFont="1" applyFill="1" applyBorder="1" applyProtection="1"/>
    <xf numFmtId="9" fontId="5" fillId="2" borderId="19" xfId="6" applyFont="1" applyFill="1" applyBorder="1" applyAlignment="1" applyProtection="1">
      <alignment horizontal="right" vertical="center"/>
    </xf>
    <xf numFmtId="9" fontId="5" fillId="2" borderId="2" xfId="6" applyFont="1" applyFill="1" applyBorder="1" applyAlignment="1" applyProtection="1">
      <alignment horizontal="right" vertical="center"/>
    </xf>
    <xf numFmtId="0" fontId="5" fillId="2" borderId="19" xfId="0" applyFont="1" applyFill="1" applyBorder="1" applyProtection="1"/>
    <xf numFmtId="3" fontId="5" fillId="2" borderId="4" xfId="0" applyNumberFormat="1" applyFont="1" applyFill="1" applyBorder="1" applyProtection="1"/>
    <xf numFmtId="0" fontId="5" fillId="2" borderId="0" xfId="0" applyFont="1" applyFill="1" applyBorder="1" applyProtection="1"/>
    <xf numFmtId="3" fontId="5" fillId="2" borderId="9" xfId="0" applyNumberFormat="1" applyFont="1" applyFill="1" applyBorder="1" applyProtection="1"/>
    <xf numFmtId="3" fontId="5" fillId="2" borderId="14" xfId="0" applyNumberFormat="1" applyFont="1" applyFill="1" applyBorder="1" applyProtection="1"/>
    <xf numFmtId="9" fontId="5" fillId="2" borderId="5" xfId="6" applyFont="1" applyFill="1" applyBorder="1" applyAlignment="1" applyProtection="1">
      <alignment horizontal="right" vertical="center"/>
    </xf>
    <xf numFmtId="9" fontId="5" fillId="2" borderId="0" xfId="6" applyFont="1" applyFill="1" applyBorder="1" applyAlignment="1" applyProtection="1">
      <alignment horizontal="right" vertical="center"/>
    </xf>
    <xf numFmtId="0" fontId="5" fillId="2" borderId="5" xfId="0" applyFont="1" applyFill="1" applyBorder="1" applyProtection="1"/>
    <xf numFmtId="3" fontId="5" fillId="2" borderId="0" xfId="0" applyNumberFormat="1" applyFont="1" applyFill="1" applyBorder="1" applyProtection="1"/>
    <xf numFmtId="3" fontId="5" fillId="2" borderId="13" xfId="0" applyNumberFormat="1" applyFont="1" applyFill="1" applyBorder="1" applyProtection="1"/>
    <xf numFmtId="3" fontId="5" fillId="0" borderId="0" xfId="0" applyNumberFormat="1" applyFont="1" applyFill="1" applyProtection="1"/>
    <xf numFmtId="0" fontId="6" fillId="0" borderId="0" xfId="0" applyFont="1" applyFill="1" applyAlignment="1" applyProtection="1">
      <alignment horizontal="left"/>
    </xf>
    <xf numFmtId="3" fontId="5" fillId="6" borderId="2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 vertical="center"/>
    </xf>
    <xf numFmtId="168" fontId="5" fillId="2" borderId="2" xfId="0" applyNumberFormat="1" applyFont="1" applyFill="1" applyBorder="1" applyAlignment="1" applyProtection="1"/>
    <xf numFmtId="0" fontId="6" fillId="2" borderId="16" xfId="0" applyFont="1" applyFill="1" applyBorder="1" applyAlignment="1" applyProtection="1">
      <alignment horizontal="left"/>
    </xf>
    <xf numFmtId="3" fontId="9" fillId="0" borderId="0" xfId="6" applyNumberFormat="1" applyFont="1" applyFill="1" applyBorder="1" applyAlignment="1" applyProtection="1"/>
    <xf numFmtId="168" fontId="5" fillId="3" borderId="0" xfId="0" applyNumberFormat="1" applyFont="1" applyFill="1" applyProtection="1"/>
    <xf numFmtId="0" fontId="18" fillId="0" borderId="0" xfId="0" applyFont="1" applyFill="1" applyProtection="1"/>
    <xf numFmtId="0" fontId="4" fillId="5" borderId="0" xfId="0" applyFont="1" applyFill="1" applyBorder="1" applyProtection="1"/>
    <xf numFmtId="0" fontId="18" fillId="3" borderId="0" xfId="0" applyFont="1" applyFill="1" applyProtection="1"/>
    <xf numFmtId="0" fontId="5" fillId="2" borderId="17" xfId="0" applyFont="1" applyFill="1" applyBorder="1" applyAlignment="1" applyProtection="1">
      <alignment horizontal="left" indent="1"/>
    </xf>
    <xf numFmtId="38" fontId="5" fillId="2" borderId="4" xfId="1" applyNumberFormat="1" applyFont="1" applyFill="1" applyBorder="1" applyProtection="1"/>
    <xf numFmtId="0" fontId="5" fillId="2" borderId="12" xfId="0" applyFont="1" applyFill="1" applyBorder="1" applyAlignment="1" applyProtection="1">
      <alignment horizontal="left" indent="2"/>
    </xf>
    <xf numFmtId="3" fontId="6" fillId="2" borderId="2" xfId="0" applyNumberFormat="1" applyFont="1" applyFill="1" applyBorder="1" applyAlignment="1" applyProtection="1">
      <alignment horizontal="center"/>
    </xf>
    <xf numFmtId="38" fontId="5" fillId="2" borderId="20" xfId="1" applyNumberFormat="1" applyFont="1" applyFill="1" applyBorder="1" applyProtection="1"/>
    <xf numFmtId="0" fontId="18" fillId="2" borderId="0" xfId="0" applyFont="1" applyFill="1" applyProtection="1"/>
    <xf numFmtId="0" fontId="6" fillId="2" borderId="18" xfId="0" applyFont="1" applyFill="1" applyBorder="1" applyAlignment="1" applyProtection="1">
      <alignment horizontal="left" indent="1"/>
    </xf>
    <xf numFmtId="0" fontId="5" fillId="0" borderId="21" xfId="0" applyFont="1" applyFill="1" applyBorder="1" applyProtection="1"/>
    <xf numFmtId="38" fontId="5" fillId="0" borderId="0" xfId="1" applyNumberFormat="1" applyFont="1" applyFill="1" applyBorder="1" applyAlignment="1" applyProtection="1">
      <alignment horizontal="center"/>
    </xf>
    <xf numFmtId="168" fontId="5" fillId="0" borderId="0" xfId="0" applyNumberFormat="1" applyFont="1" applyFill="1" applyBorder="1" applyAlignment="1" applyProtection="1"/>
    <xf numFmtId="38" fontId="5" fillId="3" borderId="0" xfId="1" applyNumberFormat="1" applyFont="1" applyFill="1" applyBorder="1" applyAlignment="1" applyProtection="1">
      <alignment horizontal="center"/>
    </xf>
    <xf numFmtId="168" fontId="5" fillId="3" borderId="0" xfId="0" applyNumberFormat="1" applyFont="1" applyFill="1" applyBorder="1" applyAlignment="1" applyProtection="1"/>
    <xf numFmtId="0" fontId="6" fillId="3" borderId="0" xfId="0" applyFont="1" applyFill="1" applyProtection="1"/>
    <xf numFmtId="38" fontId="5" fillId="3" borderId="0" xfId="1" applyNumberFormat="1" applyFont="1" applyFill="1" applyBorder="1" applyProtection="1"/>
    <xf numFmtId="168" fontId="6" fillId="3" borderId="0" xfId="0" applyNumberFormat="1" applyFont="1" applyFill="1" applyBorder="1" applyAlignment="1" applyProtection="1"/>
    <xf numFmtId="168" fontId="19" fillId="3" borderId="0" xfId="0" applyNumberFormat="1" applyFont="1" applyFill="1" applyBorder="1" applyAlignment="1" applyProtection="1"/>
    <xf numFmtId="0" fontId="5" fillId="3" borderId="0" xfId="0" applyFont="1" applyFill="1" applyAlignment="1" applyProtection="1">
      <alignment horizontal="left" indent="1"/>
    </xf>
    <xf numFmtId="38" fontId="5" fillId="3" borderId="0" xfId="0" applyNumberFormat="1" applyFont="1" applyFill="1" applyBorder="1" applyProtection="1"/>
    <xf numFmtId="38" fontId="5" fillId="3" borderId="0" xfId="0" applyNumberFormat="1" applyFont="1" applyFill="1" applyBorder="1" applyAlignment="1" applyProtection="1"/>
    <xf numFmtId="0" fontId="18" fillId="3" borderId="0" xfId="0" applyFont="1" applyFill="1" applyBorder="1" applyProtection="1"/>
    <xf numFmtId="3" fontId="5" fillId="2" borderId="2" xfId="6" applyNumberFormat="1" applyFont="1" applyFill="1" applyBorder="1" applyAlignment="1" applyProtection="1">
      <alignment horizontal="right" vertical="center"/>
    </xf>
    <xf numFmtId="3" fontId="5" fillId="2" borderId="19" xfId="6" applyNumberFormat="1" applyFont="1" applyFill="1" applyBorder="1" applyAlignment="1" applyProtection="1">
      <alignment horizontal="right" vertical="center"/>
    </xf>
    <xf numFmtId="3" fontId="5" fillId="2" borderId="10" xfId="6" applyNumberFormat="1" applyFont="1" applyFill="1" applyBorder="1" applyAlignment="1" applyProtection="1">
      <alignment horizontal="right" vertical="center"/>
    </xf>
    <xf numFmtId="3" fontId="5" fillId="2" borderId="22" xfId="6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8" fillId="5" borderId="0" xfId="0" applyFont="1" applyFill="1" applyBorder="1" applyProtection="1"/>
    <xf numFmtId="0" fontId="9" fillId="5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9" fillId="3" borderId="0" xfId="0" applyFont="1" applyFill="1" applyProtection="1"/>
    <xf numFmtId="1" fontId="5" fillId="2" borderId="2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/>
    <xf numFmtId="38" fontId="5" fillId="0" borderId="0" xfId="0" applyNumberFormat="1" applyFont="1" applyFill="1" applyProtection="1"/>
    <xf numFmtId="3" fontId="5" fillId="2" borderId="2" xfId="0" applyNumberFormat="1" applyFont="1" applyFill="1" applyBorder="1" applyAlignment="1" applyProtection="1">
      <alignment horizontal="right"/>
    </xf>
    <xf numFmtId="0" fontId="32" fillId="3" borderId="0" xfId="0" applyFont="1" applyFill="1" applyProtection="1"/>
    <xf numFmtId="168" fontId="32" fillId="3" borderId="0" xfId="0" applyNumberFormat="1" applyFont="1" applyFill="1" applyProtection="1"/>
    <xf numFmtId="175" fontId="32" fillId="3" borderId="0" xfId="0" applyNumberFormat="1" applyFont="1" applyFill="1" applyProtection="1"/>
    <xf numFmtId="3" fontId="32" fillId="3" borderId="0" xfId="0" applyNumberFormat="1" applyFont="1" applyFill="1" applyProtection="1"/>
    <xf numFmtId="0" fontId="8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40" fontId="5" fillId="0" borderId="0" xfId="7" applyNumberFormat="1" applyFont="1" applyFill="1" applyProtection="1"/>
    <xf numFmtId="3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3" fontId="6" fillId="2" borderId="2" xfId="6" applyNumberFormat="1" applyFont="1" applyFill="1" applyBorder="1" applyAlignment="1" applyProtection="1">
      <alignment horizontal="right" vertical="center"/>
    </xf>
    <xf numFmtId="172" fontId="5" fillId="3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3" fontId="6" fillId="0" borderId="0" xfId="6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vertical="center" wrapText="1"/>
    </xf>
    <xf numFmtId="10" fontId="5" fillId="2" borderId="2" xfId="0" applyNumberFormat="1" applyFont="1" applyFill="1" applyBorder="1" applyAlignment="1" applyProtection="1">
      <alignment vertical="center" wrapText="1"/>
    </xf>
    <xf numFmtId="170" fontId="5" fillId="3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 wrapText="1"/>
    </xf>
    <xf numFmtId="3" fontId="5" fillId="2" borderId="2" xfId="0" applyNumberFormat="1" applyFont="1" applyFill="1" applyBorder="1" applyAlignment="1" applyProtection="1">
      <alignment vertical="center" wrapText="1"/>
    </xf>
    <xf numFmtId="169" fontId="5" fillId="2" borderId="2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 wrapText="1"/>
    </xf>
    <xf numFmtId="40" fontId="22" fillId="0" borderId="0" xfId="7" applyNumberFormat="1" applyFont="1" applyFill="1" applyProtection="1"/>
    <xf numFmtId="40" fontId="22" fillId="0" borderId="0" xfId="7" applyNumberFormat="1" applyFont="1" applyFill="1" applyBorder="1" applyProtection="1"/>
    <xf numFmtId="40" fontId="5" fillId="0" borderId="0" xfId="7" applyNumberFormat="1" applyFont="1" applyFill="1" applyBorder="1" applyAlignment="1" applyProtection="1">
      <alignment horizontal="right"/>
    </xf>
    <xf numFmtId="40" fontId="22" fillId="0" borderId="0" xfId="7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Protection="1"/>
    <xf numFmtId="10" fontId="6" fillId="2" borderId="2" xfId="6" applyNumberFormat="1" applyFont="1" applyFill="1" applyBorder="1" applyAlignment="1" applyProtection="1">
      <alignment horizontal="right" vertical="center"/>
    </xf>
    <xf numFmtId="40" fontId="5" fillId="0" borderId="0" xfId="7" applyNumberFormat="1" applyFont="1" applyFill="1" applyBorder="1" applyAlignment="1" applyProtection="1">
      <alignment horizontal="left"/>
    </xf>
    <xf numFmtId="3" fontId="6" fillId="2" borderId="2" xfId="6" applyNumberFormat="1" applyFont="1" applyFill="1" applyBorder="1" applyAlignment="1" applyProtection="1">
      <alignment horizontal="left" vertical="center"/>
    </xf>
    <xf numFmtId="10" fontId="5" fillId="0" borderId="0" xfId="0" applyNumberFormat="1" applyFont="1" applyFill="1" applyProtection="1"/>
    <xf numFmtId="1" fontId="5" fillId="3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vertical="center" wrapText="1"/>
    </xf>
    <xf numFmtId="169" fontId="5" fillId="0" borderId="0" xfId="0" applyNumberFormat="1" applyFont="1" applyFill="1" applyProtection="1"/>
    <xf numFmtId="40" fontId="5" fillId="3" borderId="0" xfId="7" applyNumberFormat="1" applyFont="1" applyFill="1" applyProtection="1"/>
    <xf numFmtId="40" fontId="5" fillId="3" borderId="0" xfId="7" applyNumberFormat="1" applyFont="1" applyFill="1" applyBorder="1" applyProtection="1"/>
    <xf numFmtId="0" fontId="4" fillId="5" borderId="0" xfId="0" applyFont="1" applyFill="1" applyAlignment="1" applyProtection="1">
      <alignment horizontal="right"/>
      <protection locked="0"/>
    </xf>
    <xf numFmtId="168" fontId="31" fillId="3" borderId="0" xfId="0" applyNumberFormat="1" applyFont="1" applyFill="1" applyProtection="1"/>
    <xf numFmtId="168" fontId="5" fillId="0" borderId="4" xfId="0" applyNumberFormat="1" applyFont="1" applyFill="1" applyBorder="1" applyAlignment="1" applyProtection="1">
      <alignment vertical="center"/>
      <protection locked="0"/>
    </xf>
    <xf numFmtId="168" fontId="6" fillId="7" borderId="2" xfId="0" applyNumberFormat="1" applyFont="1" applyFill="1" applyBorder="1" applyAlignment="1" applyProtection="1">
      <alignment vertical="center"/>
      <protection locked="0"/>
    </xf>
    <xf numFmtId="168" fontId="14" fillId="7" borderId="2" xfId="0" applyNumberFormat="1" applyFont="1" applyFill="1" applyBorder="1" applyAlignment="1" applyProtection="1">
      <alignment vertical="center"/>
      <protection locked="0"/>
    </xf>
    <xf numFmtId="168" fontId="5" fillId="7" borderId="2" xfId="0" applyNumberFormat="1" applyFont="1" applyFill="1" applyBorder="1" applyAlignment="1" applyProtection="1">
      <alignment vertical="center"/>
      <protection locked="0"/>
    </xf>
    <xf numFmtId="9" fontId="14" fillId="7" borderId="2" xfId="6" applyFont="1" applyFill="1" applyBorder="1" applyAlignment="1" applyProtection="1">
      <alignment vertical="center"/>
      <protection locked="0"/>
    </xf>
    <xf numFmtId="10" fontId="14" fillId="7" borderId="2" xfId="6" applyNumberFormat="1" applyFont="1" applyFill="1" applyBorder="1" applyAlignment="1" applyProtection="1">
      <alignment vertical="center"/>
      <protection locked="0"/>
    </xf>
    <xf numFmtId="171" fontId="14" fillId="7" borderId="2" xfId="0" applyNumberFormat="1" applyFont="1" applyFill="1" applyBorder="1" applyAlignment="1" applyProtection="1">
      <alignment vertical="center"/>
      <protection locked="0"/>
    </xf>
    <xf numFmtId="171" fontId="5" fillId="7" borderId="2" xfId="0" applyNumberFormat="1" applyFont="1" applyFill="1" applyBorder="1" applyAlignment="1" applyProtection="1">
      <alignment vertical="center"/>
      <protection locked="0"/>
    </xf>
    <xf numFmtId="8" fontId="5" fillId="0" borderId="0" xfId="0" applyNumberFormat="1" applyFont="1" applyFill="1" applyProtection="1"/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3" fontId="6" fillId="2" borderId="2" xfId="6" applyNumberFormat="1" applyFont="1" applyFill="1" applyBorder="1" applyAlignment="1" applyProtection="1">
      <alignment horizontal="right" vertical="center"/>
      <protection locked="0"/>
    </xf>
    <xf numFmtId="40" fontId="22" fillId="0" borderId="0" xfId="7" applyNumberFormat="1" applyFont="1" applyFill="1" applyBorder="1" applyProtection="1">
      <protection locked="0"/>
    </xf>
    <xf numFmtId="40" fontId="5" fillId="0" borderId="0" xfId="7" applyNumberFormat="1" applyFont="1" applyFill="1" applyProtection="1">
      <protection locked="0"/>
    </xf>
    <xf numFmtId="40" fontId="5" fillId="0" borderId="0" xfId="7" applyNumberFormat="1" applyFont="1" applyFill="1" applyBorder="1" applyAlignment="1" applyProtection="1">
      <alignment horizontal="right"/>
      <protection locked="0"/>
    </xf>
    <xf numFmtId="40" fontId="22" fillId="0" borderId="0" xfId="7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/>
    </xf>
    <xf numFmtId="9" fontId="5" fillId="2" borderId="18" xfId="6" applyFont="1" applyFill="1" applyBorder="1" applyAlignment="1" applyProtection="1">
      <alignment horizontal="right" vertical="center"/>
    </xf>
    <xf numFmtId="0" fontId="15" fillId="0" borderId="0" xfId="0" applyFont="1" applyFill="1" applyProtection="1"/>
    <xf numFmtId="0" fontId="6" fillId="0" borderId="2" xfId="0" applyFont="1" applyFill="1" applyBorder="1" applyProtection="1"/>
    <xf numFmtId="0" fontId="5" fillId="0" borderId="2" xfId="0" applyFont="1" applyFill="1" applyBorder="1" applyProtection="1"/>
    <xf numFmtId="0" fontId="6" fillId="2" borderId="7" xfId="0" applyFont="1" applyFill="1" applyBorder="1" applyAlignment="1" applyProtection="1">
      <alignment horizontal="center"/>
    </xf>
    <xf numFmtId="3" fontId="5" fillId="0" borderId="2" xfId="0" applyNumberFormat="1" applyFont="1" applyFill="1" applyBorder="1" applyProtection="1"/>
    <xf numFmtId="10" fontId="5" fillId="0" borderId="2" xfId="0" applyNumberFormat="1" applyFont="1" applyFill="1" applyBorder="1" applyProtection="1"/>
    <xf numFmtId="0" fontId="6" fillId="2" borderId="14" xfId="0" applyFont="1" applyFill="1" applyBorder="1" applyAlignment="1" applyProtection="1">
      <alignment horizontal="left"/>
    </xf>
    <xf numFmtId="0" fontId="6" fillId="3" borderId="23" xfId="0" applyFont="1" applyFill="1" applyBorder="1" applyProtection="1"/>
    <xf numFmtId="0" fontId="5" fillId="3" borderId="23" xfId="0" applyFont="1" applyFill="1" applyBorder="1" applyAlignment="1" applyProtection="1">
      <alignment horizontal="left" indent="1"/>
    </xf>
    <xf numFmtId="0" fontId="5" fillId="3" borderId="24" xfId="0" applyFont="1" applyFill="1" applyBorder="1" applyProtection="1"/>
    <xf numFmtId="3" fontId="6" fillId="3" borderId="1" xfId="0" applyNumberFormat="1" applyFont="1" applyFill="1" applyBorder="1" applyProtection="1"/>
    <xf numFmtId="0" fontId="5" fillId="0" borderId="25" xfId="0" applyFont="1" applyFill="1" applyBorder="1" applyProtection="1">
      <protection locked="0"/>
    </xf>
    <xf numFmtId="10" fontId="33" fillId="0" borderId="25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38" fontId="5" fillId="2" borderId="2" xfId="0" applyNumberFormat="1" applyFont="1" applyFill="1" applyBorder="1" applyAlignment="1" applyProtection="1">
      <alignment horizontal="right"/>
    </xf>
    <xf numFmtId="3" fontId="6" fillId="2" borderId="8" xfId="0" applyNumberFormat="1" applyFont="1" applyFill="1" applyBorder="1" applyAlignment="1" applyProtection="1">
      <alignment horizontal="right"/>
    </xf>
    <xf numFmtId="0" fontId="5" fillId="2" borderId="3" xfId="3" applyFont="1" applyFill="1" applyBorder="1" applyAlignment="1" applyProtection="1">
      <alignment horizontal="left" indent="1"/>
    </xf>
    <xf numFmtId="38" fontId="5" fillId="2" borderId="2" xfId="0" applyNumberFormat="1" applyFont="1" applyFill="1" applyBorder="1" applyAlignment="1" applyProtection="1">
      <alignment horizontal="left" indent="1"/>
    </xf>
    <xf numFmtId="38" fontId="5" fillId="2" borderId="2" xfId="0" applyNumberFormat="1" applyFont="1" applyFill="1" applyBorder="1" applyAlignment="1" applyProtection="1">
      <alignment horizontal="left"/>
    </xf>
    <xf numFmtId="3" fontId="34" fillId="2" borderId="2" xfId="3" applyNumberFormat="1" applyFont="1" applyFill="1" applyBorder="1" applyAlignment="1" applyProtection="1">
      <alignment horizontal="right"/>
    </xf>
    <xf numFmtId="3" fontId="31" fillId="2" borderId="2" xfId="3" applyNumberFormat="1" applyFont="1" applyFill="1" applyBorder="1" applyAlignment="1" applyProtection="1">
      <alignment horizontal="right"/>
    </xf>
    <xf numFmtId="3" fontId="34" fillId="2" borderId="2" xfId="3" applyNumberFormat="1" applyFont="1" applyFill="1" applyBorder="1" applyProtection="1"/>
    <xf numFmtId="3" fontId="6" fillId="2" borderId="2" xfId="3" applyNumberFormat="1" applyFont="1" applyFill="1" applyBorder="1" applyAlignment="1" applyProtection="1">
      <alignment horizontal="right"/>
    </xf>
    <xf numFmtId="3" fontId="34" fillId="2" borderId="2" xfId="3" applyNumberFormat="1" applyFont="1" applyFill="1" applyBorder="1" applyAlignment="1" applyProtection="1">
      <alignment horizontal="center"/>
    </xf>
    <xf numFmtId="3" fontId="34" fillId="2" borderId="2" xfId="3" applyNumberFormat="1" applyFont="1" applyFill="1" applyBorder="1" applyAlignment="1" applyProtection="1"/>
    <xf numFmtId="0" fontId="6" fillId="0" borderId="3" xfId="0" applyFont="1" applyFill="1" applyBorder="1" applyAlignment="1" applyProtection="1">
      <alignment horizontal="left"/>
      <protection locked="0"/>
    </xf>
    <xf numFmtId="0" fontId="6" fillId="2" borderId="17" xfId="3" applyFont="1" applyFill="1" applyBorder="1" applyProtection="1"/>
    <xf numFmtId="0" fontId="5" fillId="2" borderId="20" xfId="3" applyFont="1" applyFill="1" applyBorder="1" applyProtection="1"/>
    <xf numFmtId="168" fontId="35" fillId="2" borderId="2" xfId="3" applyNumberFormat="1" applyFont="1" applyFill="1" applyBorder="1" applyProtection="1"/>
    <xf numFmtId="10" fontId="36" fillId="0" borderId="2" xfId="6" applyNumberFormat="1" applyFont="1" applyFill="1" applyBorder="1" applyProtection="1">
      <protection locked="0"/>
    </xf>
    <xf numFmtId="10" fontId="36" fillId="2" borderId="2" xfId="6" applyNumberFormat="1" applyFont="1" applyFill="1" applyBorder="1" applyProtection="1"/>
    <xf numFmtId="179" fontId="36" fillId="0" borderId="2" xfId="6" applyNumberFormat="1" applyFont="1" applyFill="1" applyBorder="1" applyProtection="1">
      <protection locked="0"/>
    </xf>
    <xf numFmtId="168" fontId="37" fillId="0" borderId="0" xfId="3" applyNumberFormat="1" applyFont="1" applyFill="1" applyProtection="1"/>
    <xf numFmtId="168" fontId="38" fillId="2" borderId="7" xfId="3" applyNumberFormat="1" applyFont="1" applyFill="1" applyBorder="1" applyProtection="1"/>
    <xf numFmtId="0" fontId="5" fillId="2" borderId="5" xfId="3" applyFont="1" applyFill="1" applyBorder="1" applyProtection="1"/>
    <xf numFmtId="10" fontId="5" fillId="2" borderId="19" xfId="5" applyNumberFormat="1" applyFont="1" applyFill="1" applyBorder="1" applyProtection="1"/>
    <xf numFmtId="168" fontId="5" fillId="2" borderId="19" xfId="3" applyNumberFormat="1" applyFont="1" applyFill="1" applyBorder="1" applyProtection="1"/>
    <xf numFmtId="0" fontId="5" fillId="2" borderId="5" xfId="3" applyFont="1" applyFill="1" applyBorder="1" applyAlignment="1" applyProtection="1">
      <alignment horizontal="left" indent="2"/>
    </xf>
    <xf numFmtId="168" fontId="5" fillId="2" borderId="6" xfId="3" applyNumberFormat="1" applyFont="1" applyFill="1" applyBorder="1" applyProtection="1"/>
    <xf numFmtId="10" fontId="5" fillId="2" borderId="22" xfId="5" applyNumberFormat="1" applyFont="1" applyFill="1" applyBorder="1" applyProtection="1"/>
    <xf numFmtId="168" fontId="38" fillId="2" borderId="19" xfId="3" applyNumberFormat="1" applyFont="1" applyFill="1" applyBorder="1" applyProtection="1"/>
    <xf numFmtId="168" fontId="6" fillId="2" borderId="2" xfId="3" applyNumberFormat="1" applyFont="1" applyFill="1" applyBorder="1" applyAlignment="1" applyProtection="1"/>
    <xf numFmtId="0" fontId="6" fillId="2" borderId="5" xfId="3" applyFont="1" applyFill="1" applyBorder="1" applyProtection="1"/>
    <xf numFmtId="0" fontId="6" fillId="2" borderId="9" xfId="3" applyFont="1" applyFill="1" applyBorder="1" applyProtection="1"/>
    <xf numFmtId="168" fontId="6" fillId="0" borderId="0" xfId="3" applyNumberFormat="1" applyFont="1" applyFill="1" applyBorder="1" applyAlignment="1" applyProtection="1"/>
    <xf numFmtId="168" fontId="5" fillId="2" borderId="7" xfId="3" applyNumberFormat="1" applyFont="1" applyFill="1" applyBorder="1" applyProtection="1"/>
    <xf numFmtId="3" fontId="5" fillId="2" borderId="2" xfId="3" applyNumberFormat="1" applyFont="1" applyFill="1" applyBorder="1" applyAlignment="1" applyProtection="1"/>
    <xf numFmtId="0" fontId="5" fillId="2" borderId="9" xfId="0" applyFont="1" applyFill="1" applyBorder="1" applyAlignment="1" applyProtection="1">
      <alignment horizontal="left" indent="1"/>
    </xf>
    <xf numFmtId="168" fontId="5" fillId="2" borderId="7" xfId="0" applyNumberFormat="1" applyFont="1" applyFill="1" applyBorder="1" applyProtection="1"/>
    <xf numFmtId="0" fontId="9" fillId="5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protection locked="0"/>
    </xf>
    <xf numFmtId="1" fontId="5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3" fontId="6" fillId="0" borderId="2" xfId="0" applyNumberFormat="1" applyFont="1" applyFill="1" applyBorder="1" applyAlignment="1" applyProtection="1">
      <protection locked="0"/>
    </xf>
    <xf numFmtId="38" fontId="5" fillId="0" borderId="2" xfId="0" applyNumberFormat="1" applyFont="1" applyFill="1" applyBorder="1" applyAlignment="1" applyProtection="1">
      <alignment horizontal="center"/>
      <protection locked="0"/>
    </xf>
    <xf numFmtId="38" fontId="5" fillId="0" borderId="2" xfId="0" applyNumberFormat="1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1" fontId="6" fillId="0" borderId="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center"/>
    </xf>
    <xf numFmtId="0" fontId="6" fillId="2" borderId="27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3" fontId="5" fillId="2" borderId="29" xfId="6" applyNumberFormat="1" applyFont="1" applyFill="1" applyBorder="1" applyAlignment="1" applyProtection="1">
      <alignment horizontal="right" vertical="center"/>
    </xf>
    <xf numFmtId="9" fontId="5" fillId="2" borderId="29" xfId="6" applyFont="1" applyFill="1" applyBorder="1" applyAlignment="1" applyProtection="1">
      <alignment horizontal="right" vertical="center"/>
    </xf>
    <xf numFmtId="9" fontId="5" fillId="2" borderId="30" xfId="6" applyFont="1" applyFill="1" applyBorder="1" applyAlignment="1" applyProtection="1">
      <alignment horizontal="right" vertical="center"/>
    </xf>
    <xf numFmtId="9" fontId="5" fillId="2" borderId="31" xfId="6" applyFont="1" applyFill="1" applyBorder="1" applyAlignment="1" applyProtection="1">
      <alignment horizontal="right" vertical="center"/>
    </xf>
    <xf numFmtId="4" fontId="5" fillId="2" borderId="29" xfId="0" applyNumberFormat="1" applyFont="1" applyFill="1" applyBorder="1" applyAlignment="1" applyProtection="1">
      <alignment horizontal="right" vertical="center"/>
    </xf>
    <xf numFmtId="4" fontId="5" fillId="2" borderId="30" xfId="0" applyNumberFormat="1" applyFont="1" applyFill="1" applyBorder="1" applyAlignment="1" applyProtection="1">
      <alignment horizontal="right" vertical="center"/>
    </xf>
    <xf numFmtId="4" fontId="5" fillId="2" borderId="31" xfId="0" applyNumberFormat="1" applyFont="1" applyFill="1" applyBorder="1" applyAlignment="1" applyProtection="1">
      <alignment horizontal="right" vertical="center"/>
    </xf>
    <xf numFmtId="0" fontId="6" fillId="2" borderId="32" xfId="0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9" fontId="5" fillId="2" borderId="34" xfId="6" applyFont="1" applyFill="1" applyBorder="1" applyAlignment="1" applyProtection="1">
      <alignment horizontal="right" vertical="center"/>
    </xf>
    <xf numFmtId="9" fontId="5" fillId="2" borderId="35" xfId="6" applyFont="1" applyFill="1" applyBorder="1" applyAlignment="1" applyProtection="1">
      <alignment horizontal="right" vertical="center"/>
    </xf>
    <xf numFmtId="9" fontId="5" fillId="2" borderId="36" xfId="6" applyFont="1" applyFill="1" applyBorder="1" applyAlignment="1" applyProtection="1">
      <alignment horizontal="right" vertical="center"/>
    </xf>
    <xf numFmtId="0" fontId="5" fillId="2" borderId="37" xfId="0" applyFont="1" applyFill="1" applyBorder="1" applyAlignment="1" applyProtection="1">
      <alignment horizontal="left"/>
    </xf>
    <xf numFmtId="0" fontId="5" fillId="0" borderId="2" xfId="0" applyNumberFormat="1" applyFont="1" applyFill="1" applyBorder="1" applyProtection="1"/>
    <xf numFmtId="168" fontId="6" fillId="2" borderId="18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/>
    <xf numFmtId="0" fontId="6" fillId="2" borderId="2" xfId="0" applyNumberFormat="1" applyFont="1" applyFill="1" applyBorder="1" applyAlignment="1" applyProtection="1">
      <alignment horizontal="center"/>
    </xf>
    <xf numFmtId="9" fontId="14" fillId="2" borderId="2" xfId="0" applyNumberFormat="1" applyFont="1" applyFill="1" applyBorder="1" applyProtection="1"/>
    <xf numFmtId="4" fontId="14" fillId="0" borderId="2" xfId="0" applyNumberFormat="1" applyFont="1" applyFill="1" applyBorder="1" applyProtection="1">
      <protection locked="0"/>
    </xf>
    <xf numFmtId="4" fontId="14" fillId="2" borderId="2" xfId="6" applyNumberFormat="1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/>
    <xf numFmtId="4" fontId="5" fillId="0" borderId="0" xfId="0" applyNumberFormat="1" applyFont="1" applyFill="1" applyProtection="1"/>
    <xf numFmtId="4" fontId="6" fillId="2" borderId="18" xfId="0" applyNumberFormat="1" applyFont="1" applyFill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</xf>
    <xf numFmtId="4" fontId="6" fillId="2" borderId="8" xfId="0" applyNumberFormat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left"/>
    </xf>
    <xf numFmtId="0" fontId="6" fillId="2" borderId="17" xfId="0" applyFont="1" applyFill="1" applyBorder="1" applyProtection="1"/>
    <xf numFmtId="171" fontId="5" fillId="7" borderId="2" xfId="0" applyNumberFormat="1" applyFont="1" applyFill="1" applyBorder="1" applyAlignment="1" applyProtection="1">
      <alignment horizontal="right"/>
    </xf>
    <xf numFmtId="171" fontId="6" fillId="7" borderId="2" xfId="0" applyNumberFormat="1" applyFont="1" applyFill="1" applyBorder="1" applyAlignment="1" applyProtection="1">
      <alignment horizontal="right"/>
    </xf>
    <xf numFmtId="171" fontId="6" fillId="7" borderId="22" xfId="0" applyNumberFormat="1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right" vertical="center" wrapText="1"/>
    </xf>
    <xf numFmtId="168" fontId="6" fillId="2" borderId="2" xfId="0" applyNumberFormat="1" applyFont="1" applyFill="1" applyBorder="1" applyAlignment="1" applyProtection="1">
      <alignment horizontal="right" vertical="center"/>
    </xf>
    <xf numFmtId="168" fontId="5" fillId="0" borderId="2" xfId="0" applyNumberFormat="1" applyFont="1" applyFill="1" applyBorder="1" applyAlignment="1" applyProtection="1">
      <alignment horizontal="right" vertical="center"/>
      <protection locked="0"/>
    </xf>
    <xf numFmtId="168" fontId="6" fillId="2" borderId="8" xfId="0" applyNumberFormat="1" applyFont="1" applyFill="1" applyBorder="1" applyAlignment="1" applyProtection="1">
      <alignment horizontal="right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4" fontId="14" fillId="2" borderId="2" xfId="6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23" fillId="0" borderId="0" xfId="2" applyFont="1" applyFill="1" applyBorder="1" applyAlignment="1" applyProtection="1">
      <alignment horizontal="left" wrapText="1"/>
      <protection hidden="1"/>
    </xf>
    <xf numFmtId="0" fontId="30" fillId="0" borderId="38" xfId="2" applyFont="1" applyFill="1" applyBorder="1" applyAlignment="1" applyProtection="1">
      <alignment horizontal="center"/>
      <protection hidden="1"/>
    </xf>
    <xf numFmtId="0" fontId="23" fillId="0" borderId="0" xfId="2" applyFont="1" applyFill="1" applyBorder="1" applyAlignment="1" applyProtection="1">
      <alignment horizontal="left"/>
      <protection hidden="1"/>
    </xf>
    <xf numFmtId="0" fontId="29" fillId="0" borderId="0" xfId="2" applyFont="1" applyFill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38" xfId="0" applyFont="1" applyFill="1" applyBorder="1" applyAlignment="1" applyProtection="1">
      <alignment horizontal="center"/>
      <protection hidden="1"/>
    </xf>
    <xf numFmtId="9" fontId="14" fillId="0" borderId="9" xfId="6" applyFont="1" applyFill="1" applyBorder="1" applyAlignment="1" applyProtection="1">
      <alignment horizontal="left" vertical="center" indent="1"/>
      <protection hidden="1"/>
    </xf>
    <xf numFmtId="9" fontId="14" fillId="0" borderId="13" xfId="6" applyFont="1" applyFill="1" applyBorder="1" applyAlignment="1" applyProtection="1">
      <alignment horizontal="left" vertical="center" indent="1"/>
      <protection hidden="1"/>
    </xf>
    <xf numFmtId="9" fontId="14" fillId="0" borderId="14" xfId="6" applyFont="1" applyFill="1" applyBorder="1" applyAlignment="1" applyProtection="1">
      <alignment horizontal="left" vertical="center" indent="1"/>
      <protection hidden="1"/>
    </xf>
    <xf numFmtId="9" fontId="14" fillId="0" borderId="5" xfId="6" applyFont="1" applyFill="1" applyBorder="1" applyAlignment="1" applyProtection="1">
      <alignment horizontal="left" vertical="center" indent="1"/>
      <protection hidden="1"/>
    </xf>
    <xf numFmtId="9" fontId="14" fillId="0" borderId="0" xfId="6" applyFont="1" applyFill="1" applyBorder="1" applyAlignment="1" applyProtection="1">
      <alignment horizontal="left" vertical="center" indent="1"/>
      <protection hidden="1"/>
    </xf>
    <xf numFmtId="9" fontId="14" fillId="0" borderId="6" xfId="6" applyFont="1" applyFill="1" applyBorder="1" applyAlignment="1" applyProtection="1">
      <alignment horizontal="left" vertical="center" indent="1"/>
      <protection hidden="1"/>
    </xf>
    <xf numFmtId="9" fontId="14" fillId="0" borderId="17" xfId="6" quotePrefix="1" applyFont="1" applyFill="1" applyBorder="1" applyAlignment="1" applyProtection="1">
      <alignment horizontal="left" vertical="center" indent="1"/>
      <protection hidden="1"/>
    </xf>
    <xf numFmtId="9" fontId="14" fillId="0" borderId="15" xfId="6" quotePrefix="1" applyFont="1" applyFill="1" applyBorder="1" applyAlignment="1" applyProtection="1">
      <alignment horizontal="left" vertical="center" indent="1"/>
      <protection hidden="1"/>
    </xf>
    <xf numFmtId="9" fontId="14" fillId="0" borderId="20" xfId="6" quotePrefix="1" applyFont="1" applyFill="1" applyBorder="1" applyAlignment="1" applyProtection="1">
      <alignment horizontal="left" vertical="center" indent="1"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30" fillId="0" borderId="38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center"/>
    </xf>
    <xf numFmtId="168" fontId="6" fillId="2" borderId="11" xfId="0" applyNumberFormat="1" applyFont="1" applyFill="1" applyBorder="1" applyAlignment="1" applyProtection="1">
      <alignment horizontal="left" vertical="center" indent="5"/>
    </xf>
    <xf numFmtId="168" fontId="6" fillId="2" borderId="16" xfId="0" applyNumberFormat="1" applyFont="1" applyFill="1" applyBorder="1" applyAlignment="1" applyProtection="1">
      <alignment horizontal="left" vertical="center" indent="5"/>
    </xf>
    <xf numFmtId="168" fontId="6" fillId="2" borderId="8" xfId="0" applyNumberFormat="1" applyFont="1" applyFill="1" applyBorder="1" applyAlignment="1" applyProtection="1">
      <alignment horizontal="left" vertical="center" indent="5"/>
    </xf>
    <xf numFmtId="0" fontId="6" fillId="2" borderId="11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 indent="5"/>
    </xf>
    <xf numFmtId="0" fontId="17" fillId="2" borderId="3" xfId="0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168" fontId="6" fillId="2" borderId="11" xfId="0" applyNumberFormat="1" applyFont="1" applyFill="1" applyBorder="1" applyAlignment="1" applyProtection="1">
      <alignment horizontal="center" vertical="center"/>
    </xf>
    <xf numFmtId="168" fontId="6" fillId="2" borderId="16" xfId="0" applyNumberFormat="1" applyFont="1" applyFill="1" applyBorder="1" applyAlignment="1" applyProtection="1">
      <alignment horizontal="center" vertical="center"/>
    </xf>
    <xf numFmtId="168" fontId="6" fillId="2" borderId="18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68" fontId="6" fillId="2" borderId="3" xfId="3" applyNumberFormat="1" applyFont="1" applyFill="1" applyBorder="1" applyAlignment="1" applyProtection="1">
      <alignment horizontal="left" vertical="center"/>
    </xf>
    <xf numFmtId="168" fontId="6" fillId="2" borderId="4" xfId="3" applyNumberFormat="1" applyFont="1" applyFill="1" applyBorder="1" applyAlignment="1" applyProtection="1">
      <alignment horizontal="left" vertical="center"/>
    </xf>
    <xf numFmtId="168" fontId="6" fillId="2" borderId="8" xfId="3" applyNumberFormat="1" applyFont="1" applyFill="1" applyBorder="1" applyAlignment="1" applyProtection="1">
      <alignment horizontal="left" vertical="center"/>
    </xf>
    <xf numFmtId="0" fontId="6" fillId="2" borderId="3" xfId="3" applyFont="1" applyFill="1" applyBorder="1" applyAlignment="1" applyProtection="1">
      <alignment horizontal="center"/>
    </xf>
    <xf numFmtId="0" fontId="6" fillId="2" borderId="4" xfId="3" applyFont="1" applyFill="1" applyBorder="1" applyAlignment="1" applyProtection="1">
      <alignment horizontal="center"/>
    </xf>
    <xf numFmtId="168" fontId="6" fillId="2" borderId="3" xfId="3" applyNumberFormat="1" applyFont="1" applyFill="1" applyBorder="1" applyAlignment="1" applyProtection="1">
      <alignment horizontal="center" vertical="center"/>
    </xf>
    <xf numFmtId="168" fontId="6" fillId="2" borderId="4" xfId="3" applyNumberFormat="1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/>
    </xf>
    <xf numFmtId="0" fontId="6" fillId="2" borderId="39" xfId="3" applyFont="1" applyFill="1" applyBorder="1" applyAlignment="1" applyProtection="1">
      <alignment horizontal="center"/>
    </xf>
    <xf numFmtId="0" fontId="6" fillId="2" borderId="40" xfId="3" applyFont="1" applyFill="1" applyBorder="1" applyAlignment="1" applyProtection="1">
      <alignment horizontal="center"/>
    </xf>
    <xf numFmtId="0" fontId="6" fillId="2" borderId="41" xfId="3" applyFont="1" applyFill="1" applyBorder="1" applyAlignment="1" applyProtection="1">
      <alignment horizontal="center"/>
    </xf>
    <xf numFmtId="0" fontId="6" fillId="2" borderId="46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6" fillId="2" borderId="44" xfId="0" applyFont="1" applyFill="1" applyBorder="1" applyAlignment="1" applyProtection="1">
      <alignment horizontal="center" vertical="top" wrapText="1"/>
    </xf>
    <xf numFmtId="0" fontId="6" fillId="2" borderId="45" xfId="0" applyFont="1" applyFill="1" applyBorder="1" applyAlignment="1" applyProtection="1">
      <alignment horizontal="center" vertical="top" wrapText="1"/>
    </xf>
    <xf numFmtId="0" fontId="5" fillId="2" borderId="42" xfId="0" applyFont="1" applyFill="1" applyBorder="1" applyAlignment="1" applyProtection="1">
      <alignment horizontal="left"/>
    </xf>
    <xf numFmtId="0" fontId="5" fillId="2" borderId="43" xfId="0" applyFont="1" applyFill="1" applyBorder="1" applyAlignment="1" applyProtection="1">
      <alignment horizontal="left"/>
    </xf>
    <xf numFmtId="0" fontId="6" fillId="2" borderId="44" xfId="0" applyFont="1" applyFill="1" applyBorder="1" applyAlignment="1" applyProtection="1">
      <alignment horizontal="left" vertical="top" wrapText="1"/>
    </xf>
    <xf numFmtId="0" fontId="6" fillId="2" borderId="45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11" fillId="0" borderId="38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</cellXfs>
  <cellStyles count="8">
    <cellStyle name="Comma" xfId="7" builtinId="3"/>
    <cellStyle name="Currency" xfId="1" builtinId="4"/>
    <cellStyle name="Normal" xfId="0" builtinId="0"/>
    <cellStyle name="Normal_Book1" xfId="2"/>
    <cellStyle name="Normal_ModeloEconFinanceiro" xfId="3"/>
    <cellStyle name="Normal_ModeloInzym" xfId="4"/>
    <cellStyle name="Percent" xfId="6" builtinId="5"/>
    <cellStyle name="Percentagem_ModeloInzym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1402" name="Picture 3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5942" name="Picture 687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23595" name="Picture 687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8569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9728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 textlink="">
      <xdr:nvSpPr>
        <xdr:cNvPr id="19459" name="AutoShape 3"/>
        <xdr:cNvSpPr>
          <a:spLocks noChangeArrowheads="1"/>
        </xdr:cNvSpPr>
      </xdr:nvSpPr>
      <xdr:spPr bwMode="auto">
        <a:xfrm>
          <a:off x="295275" y="5143500"/>
          <a:ext cx="1219200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PT" sz="1000" b="1" i="0" strike="noStrike">
              <a:solidFill>
                <a:srgbClr val="000000"/>
              </a:solidFill>
              <a:latin typeface="Arial Narrow"/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4920" name="Picture 689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20618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171" name="Picture 9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22594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2425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0466" name="Picture 5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3449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4473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5497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3747" name="Picture 540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7545" name="Picture 2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1907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7516" name="Picture 1237" descr="NOVO LOGO - IAPM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f/Os%20meus%20documentos/PESS/MBA/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ClientesActivos/Collab/Or&#231;mto%202006%20v2/Or&#231;mto%202006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ST522.PTCOM/xest522's%20Documents/Downloads/SBI%20Consulting/Finicia/ModeloGaspar/3&#170;versao/pn_v4_3004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ST522.PTCOM/xest522's%20Documents/Downloads/mer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supostos"/>
      <sheetName val="Mercado"/>
      <sheetName val="Custos"/>
      <sheetName val="Plan1"/>
    </sheetNames>
    <sheetDataSet>
      <sheetData sheetId="0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tabSelected="1" workbookViewId="0">
      <selection activeCell="C6" sqref="C6"/>
    </sheetView>
  </sheetViews>
  <sheetFormatPr defaultRowHeight="12.75"/>
  <cols>
    <col min="1" max="1" width="3.7109375" style="14" customWidth="1"/>
    <col min="2" max="2" width="9.140625" style="14"/>
    <col min="3" max="3" width="88.5703125" style="14" customWidth="1"/>
    <col min="4" max="16384" width="9.140625" style="14"/>
  </cols>
  <sheetData>
    <row r="1" spans="2:3" ht="13.5">
      <c r="B1" s="13"/>
      <c r="C1" s="13"/>
    </row>
    <row r="2" spans="2:3" ht="13.5">
      <c r="B2" s="13"/>
      <c r="C2" s="13"/>
    </row>
    <row r="3" spans="2:3" ht="13.5">
      <c r="B3" s="13"/>
      <c r="C3" s="13"/>
    </row>
    <row r="4" spans="2:3" ht="15.75">
      <c r="B4" s="445" t="s">
        <v>192</v>
      </c>
      <c r="C4" s="445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47" t="s">
        <v>248</v>
      </c>
      <c r="C7" s="447"/>
    </row>
    <row r="8" spans="2:3" ht="29.25" customHeight="1">
      <c r="B8" s="447"/>
      <c r="C8" s="447"/>
    </row>
    <row r="9" spans="2:3" ht="29.25" customHeight="1">
      <c r="B9" s="447"/>
      <c r="C9" s="447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>
      <c r="B13" s="446" t="s">
        <v>139</v>
      </c>
      <c r="C13" s="446"/>
    </row>
    <row r="14" spans="2:3">
      <c r="B14" s="446" t="s">
        <v>191</v>
      </c>
      <c r="C14" s="446"/>
    </row>
    <row r="15" spans="2:3" ht="12.75" customHeight="1">
      <c r="B15" s="444" t="s">
        <v>176</v>
      </c>
      <c r="C15" s="444"/>
    </row>
    <row r="16" spans="2:3" ht="12.75" customHeight="1">
      <c r="B16" s="444" t="s">
        <v>170</v>
      </c>
      <c r="C16" s="444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251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220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252</v>
      </c>
    </row>
    <row r="26" spans="2:3">
      <c r="B26" s="11"/>
      <c r="C26" s="11"/>
    </row>
    <row r="27" spans="2:3" ht="40.5" customHeight="1">
      <c r="B27" s="21">
        <v>4</v>
      </c>
      <c r="C27" s="18" t="s">
        <v>141</v>
      </c>
    </row>
    <row r="28" spans="2:3">
      <c r="B28" s="11"/>
      <c r="C28" s="11"/>
    </row>
    <row r="29" spans="2:3" ht="40.5" customHeight="1">
      <c r="B29" s="21">
        <v>5</v>
      </c>
      <c r="C29" s="19" t="s">
        <v>142</v>
      </c>
    </row>
    <row r="30" spans="2:3">
      <c r="B30" s="11"/>
      <c r="C30" s="11"/>
    </row>
    <row r="31" spans="2:3" ht="40.5" customHeight="1">
      <c r="B31" s="21">
        <v>6</v>
      </c>
      <c r="C31" s="18" t="s">
        <v>337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193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253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250</v>
      </c>
    </row>
    <row r="40" spans="2:3" ht="13.5">
      <c r="B40" s="13"/>
      <c r="C40" s="13"/>
    </row>
    <row r="41" spans="2:3" ht="25.5">
      <c r="B41" s="21" t="s">
        <v>413</v>
      </c>
      <c r="C41" s="20" t="s">
        <v>414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honeticPr fontId="18" type="noConversion"/>
  <printOptions horizontalCentered="1"/>
  <pageMargins left="0.75" right="0.75" top="0.59055118110236227" bottom="0.59055118110236227" header="0.51181102362204722" footer="0.51181102362204722"/>
  <pageSetup paperSize="9" scale="94" orientation="portrait" r:id="rId1"/>
  <headerFooter alignWithMargins="0">
    <oddFooter>&amp;C&amp;"Arial,Normal"&amp;8IAPMEI&amp;R&amp;"Arial,Normal"&amp;8&amp;P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topLeftCell="A6" zoomScaleNormal="100" workbookViewId="0">
      <selection activeCell="F37" sqref="F37"/>
    </sheetView>
  </sheetViews>
  <sheetFormatPr defaultColWidth="8.7109375" defaultRowHeight="12.75"/>
  <cols>
    <col min="1" max="1" width="53.7109375" style="93" customWidth="1"/>
    <col min="2" max="6" width="11.42578125" style="93" customWidth="1"/>
    <col min="7" max="7" width="11.85546875" style="93" customWidth="1"/>
    <col min="8" max="16384" width="8.7109375" style="93"/>
  </cols>
  <sheetData>
    <row r="1" spans="1:7" ht="13.5">
      <c r="A1" s="83"/>
      <c r="B1" s="83"/>
      <c r="C1" s="117"/>
      <c r="D1" s="73"/>
      <c r="E1" s="73"/>
      <c r="F1" s="119" t="s">
        <v>65</v>
      </c>
      <c r="G1" s="119" t="str">
        <f>+Pressupostos!E1</f>
        <v>Portugal OutofTrack</v>
      </c>
    </row>
    <row r="2" spans="1:7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>
      <c r="A3" s="83"/>
      <c r="B3" s="83"/>
      <c r="C3" s="83"/>
      <c r="D3" s="83"/>
      <c r="E3" s="83"/>
      <c r="F3" s="83"/>
      <c r="G3" s="78"/>
    </row>
    <row r="4" spans="1:7" ht="15.75">
      <c r="A4" s="460" t="s">
        <v>58</v>
      </c>
      <c r="B4" s="460"/>
      <c r="C4" s="460"/>
      <c r="D4" s="460"/>
      <c r="E4" s="460"/>
      <c r="F4" s="460"/>
      <c r="G4" s="460"/>
    </row>
    <row r="5" spans="1:7">
      <c r="A5" s="83"/>
      <c r="B5" s="173"/>
      <c r="C5" s="83"/>
      <c r="D5" s="83"/>
      <c r="E5" s="83"/>
      <c r="F5" s="83"/>
      <c r="G5" s="83"/>
    </row>
    <row r="6" spans="1:7">
      <c r="A6" s="83"/>
      <c r="B6" s="235"/>
      <c r="C6" s="83"/>
      <c r="D6" s="83"/>
      <c r="E6" s="83"/>
      <c r="F6" s="83"/>
      <c r="G6" s="83"/>
    </row>
    <row r="7" spans="1:7">
      <c r="A7" s="162"/>
      <c r="B7" s="80">
        <f>+VN!C8</f>
        <v>2012</v>
      </c>
      <c r="C7" s="80">
        <f>+VN!D8</f>
        <v>2013</v>
      </c>
      <c r="D7" s="80">
        <f>+VN!E8</f>
        <v>2014</v>
      </c>
      <c r="E7" s="80">
        <f>+VN!F8</f>
        <v>2015</v>
      </c>
      <c r="F7" s="80">
        <f>+VN!G8</f>
        <v>2016</v>
      </c>
      <c r="G7" s="80">
        <f>+VN!H8</f>
        <v>2017</v>
      </c>
    </row>
    <row r="8" spans="1:7">
      <c r="A8" s="162" t="s">
        <v>295</v>
      </c>
      <c r="B8" s="236">
        <f>+VN!C80</f>
        <v>15075</v>
      </c>
      <c r="C8" s="236">
        <f>+VN!D80</f>
        <v>180687.5</v>
      </c>
      <c r="D8" s="236">
        <f>+VN!E80</f>
        <v>376625</v>
      </c>
      <c r="E8" s="236">
        <f>+VN!F80</f>
        <v>554775</v>
      </c>
      <c r="F8" s="236">
        <f>+VN!G80</f>
        <v>722800</v>
      </c>
      <c r="G8" s="236">
        <f>+VN!H80</f>
        <v>903150</v>
      </c>
    </row>
    <row r="9" spans="1:7">
      <c r="A9" s="162" t="s">
        <v>296</v>
      </c>
      <c r="B9" s="3"/>
      <c r="C9" s="3"/>
      <c r="D9" s="3"/>
      <c r="E9" s="3"/>
      <c r="F9" s="3"/>
      <c r="G9" s="3"/>
    </row>
    <row r="10" spans="1:7">
      <c r="A10" s="140" t="s">
        <v>297</v>
      </c>
      <c r="B10" s="3"/>
      <c r="C10" s="3"/>
      <c r="D10" s="3"/>
      <c r="E10" s="3"/>
      <c r="F10" s="3"/>
      <c r="G10" s="3"/>
    </row>
    <row r="11" spans="1:7">
      <c r="A11" s="162" t="s">
        <v>306</v>
      </c>
      <c r="B11" s="3"/>
      <c r="C11" s="3"/>
      <c r="D11" s="3"/>
      <c r="E11" s="3"/>
      <c r="F11" s="3"/>
      <c r="G11" s="3"/>
    </row>
    <row r="12" spans="1:7">
      <c r="A12" s="162" t="s">
        <v>294</v>
      </c>
      <c r="B12" s="3"/>
      <c r="C12" s="3"/>
      <c r="D12" s="3"/>
      <c r="E12" s="3"/>
      <c r="F12" s="3"/>
      <c r="G12" s="3"/>
    </row>
    <row r="13" spans="1:7">
      <c r="A13" s="162" t="s">
        <v>22</v>
      </c>
      <c r="B13" s="236">
        <f>+CMVMC!C16</f>
        <v>7904.7</v>
      </c>
      <c r="C13" s="236">
        <f>+CMVMC!D16</f>
        <v>99893.487500000003</v>
      </c>
      <c r="D13" s="236">
        <f>+CMVMC!E16</f>
        <v>207032.75750000001</v>
      </c>
      <c r="E13" s="236">
        <f>+CMVMC!F16</f>
        <v>318417.44959999999</v>
      </c>
      <c r="F13" s="236">
        <f>+CMVMC!G16</f>
        <v>417631.89409750002</v>
      </c>
      <c r="G13" s="236">
        <f>+CMVMC!H16</f>
        <v>514506.36124574998</v>
      </c>
    </row>
    <row r="14" spans="1:7">
      <c r="A14" s="162" t="s">
        <v>293</v>
      </c>
      <c r="B14" s="236">
        <f>+FSE!F43</f>
        <v>8450</v>
      </c>
      <c r="C14" s="236">
        <f>+FSE!G43</f>
        <v>36800</v>
      </c>
      <c r="D14" s="236">
        <f>+FSE!H43</f>
        <v>50154</v>
      </c>
      <c r="E14" s="236">
        <f>+FSE!I43</f>
        <v>58318.620000000017</v>
      </c>
      <c r="F14" s="236">
        <f>+FSE!J43</f>
        <v>60234.178600000014</v>
      </c>
      <c r="G14" s="236">
        <f>+FSE!K43</f>
        <v>62238.003958000001</v>
      </c>
    </row>
    <row r="15" spans="1:7">
      <c r="A15" s="162" t="s">
        <v>292</v>
      </c>
      <c r="B15" s="236">
        <f>+'Gastos com Pessoal'!D79</f>
        <v>4305.1799999999994</v>
      </c>
      <c r="C15" s="236">
        <f>+'Gastos com Pessoal'!E79</f>
        <v>5912.4471999999996</v>
      </c>
      <c r="D15" s="236">
        <f>+'Gastos com Pessoal'!F79</f>
        <v>111527.27577000001</v>
      </c>
      <c r="E15" s="236">
        <f>+'Gastos com Pessoal'!G79</f>
        <v>165558.07666033998</v>
      </c>
      <c r="F15" s="236">
        <f>+'Gastos com Pessoal'!H79</f>
        <v>201548.09205590736</v>
      </c>
      <c r="G15" s="236">
        <f>+'Gastos com Pessoal'!I79</f>
        <v>207594.43002758466</v>
      </c>
    </row>
    <row r="16" spans="1:7">
      <c r="A16" s="162" t="s">
        <v>298</v>
      </c>
      <c r="B16" s="3"/>
      <c r="C16" s="3"/>
      <c r="D16" s="3"/>
      <c r="E16" s="3"/>
      <c r="F16" s="3"/>
      <c r="G16" s="3"/>
    </row>
    <row r="17" spans="1:7">
      <c r="A17" s="162" t="s">
        <v>299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>
      <c r="A18" s="162" t="s">
        <v>300</v>
      </c>
      <c r="B18" s="3"/>
      <c r="C18" s="3"/>
      <c r="D18" s="3"/>
      <c r="E18" s="3"/>
      <c r="F18" s="3"/>
      <c r="G18" s="3"/>
    </row>
    <row r="19" spans="1:7">
      <c r="A19" s="162" t="s">
        <v>301</v>
      </c>
      <c r="B19" s="3"/>
      <c r="C19" s="3"/>
      <c r="D19" s="3"/>
      <c r="E19" s="3"/>
      <c r="F19" s="3"/>
      <c r="G19" s="3"/>
    </row>
    <row r="20" spans="1:7">
      <c r="A20" s="162" t="s">
        <v>302</v>
      </c>
      <c r="B20" s="3"/>
      <c r="C20" s="3"/>
      <c r="D20" s="3"/>
      <c r="E20" s="3"/>
      <c r="F20" s="3"/>
      <c r="G20" s="3"/>
    </row>
    <row r="21" spans="1:7">
      <c r="A21" s="162" t="s">
        <v>291</v>
      </c>
      <c r="B21" s="3"/>
      <c r="C21" s="3"/>
      <c r="D21" s="3"/>
      <c r="E21" s="3"/>
      <c r="F21" s="3"/>
      <c r="G21" s="3"/>
    </row>
    <row r="22" spans="1:7">
      <c r="A22" s="162" t="s">
        <v>290</v>
      </c>
      <c r="B22" s="3"/>
      <c r="C22" s="3"/>
      <c r="D22" s="3"/>
      <c r="E22" s="3"/>
      <c r="F22" s="3"/>
      <c r="G22" s="3"/>
    </row>
    <row r="23" spans="1:7" ht="13.5" thickBot="1">
      <c r="A23" s="237" t="s">
        <v>303</v>
      </c>
      <c r="B23" s="56">
        <f t="shared" ref="B23:G23" si="0">+B8+B9+B10+B11+B12-B13-B14-B15-B16-B17-B18-B19-B20+B21-B22</f>
        <v>-5584.8799999999992</v>
      </c>
      <c r="C23" s="56">
        <f t="shared" si="0"/>
        <v>38081.565299999995</v>
      </c>
      <c r="D23" s="56">
        <f t="shared" si="0"/>
        <v>7910.9667299999855</v>
      </c>
      <c r="E23" s="56">
        <f t="shared" si="0"/>
        <v>12480.85373966</v>
      </c>
      <c r="F23" s="56">
        <f t="shared" si="0"/>
        <v>43385.835246592615</v>
      </c>
      <c r="G23" s="56">
        <f t="shared" si="0"/>
        <v>118811.20476866537</v>
      </c>
    </row>
    <row r="24" spans="1:7" ht="13.5" thickTop="1">
      <c r="A24" s="162" t="s">
        <v>284</v>
      </c>
      <c r="B24" s="236">
        <f>+Investimento!C166</f>
        <v>8333.3333333333321</v>
      </c>
      <c r="C24" s="236">
        <f>+Investimento!D166</f>
        <v>8333.3333333333321</v>
      </c>
      <c r="D24" s="236">
        <f>+Investimento!E166</f>
        <v>8333.3333333333321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>
      <c r="A25" s="162" t="s">
        <v>285</v>
      </c>
      <c r="B25" s="3"/>
      <c r="C25" s="3"/>
      <c r="D25" s="3"/>
      <c r="E25" s="3"/>
      <c r="F25" s="3"/>
      <c r="G25" s="3"/>
    </row>
    <row r="26" spans="1:7" ht="13.5" thickBot="1">
      <c r="A26" s="237" t="s">
        <v>304</v>
      </c>
      <c r="B26" s="56">
        <f t="shared" ref="B26:G26" si="1">+B23-B24-B25</f>
        <v>-13918.213333333331</v>
      </c>
      <c r="C26" s="56">
        <f t="shared" si="1"/>
        <v>29748.231966666663</v>
      </c>
      <c r="D26" s="56">
        <f t="shared" si="1"/>
        <v>-422.36660333334657</v>
      </c>
      <c r="E26" s="56">
        <f t="shared" si="1"/>
        <v>12480.85373966</v>
      </c>
      <c r="F26" s="56">
        <f t="shared" si="1"/>
        <v>43385.835246592615</v>
      </c>
      <c r="G26" s="56">
        <f t="shared" si="1"/>
        <v>118811.20476866537</v>
      </c>
    </row>
    <row r="27" spans="1:7" ht="13.5" thickTop="1">
      <c r="A27" s="162" t="s">
        <v>287</v>
      </c>
      <c r="B27" s="236">
        <f>+IF(PlanoFinanceiro!C29&gt;0,PlanoFinanceiro!C29*Pressupostos!$B$30,0)</f>
        <v>0</v>
      </c>
      <c r="C27" s="236">
        <f>+IF(PlanoFinanceiro!D29&gt;0,PlanoFinanceiro!D29*Pressupostos!$B$30,0)</f>
        <v>237.03713895147075</v>
      </c>
      <c r="D27" s="236">
        <f>+IF(PlanoFinanceiro!E29&gt;0,PlanoFinanceiro!E29*Pressupostos!$B$30,0)</f>
        <v>274.0712038211887</v>
      </c>
      <c r="E27" s="236">
        <f>+IF(PlanoFinanceiro!F29&gt;0,PlanoFinanceiro!F29*Pressupostos!$B$30,0)</f>
        <v>357.15403536784191</v>
      </c>
      <c r="F27" s="236">
        <f>+IF(PlanoFinanceiro!G29&gt;0,PlanoFinanceiro!G29*Pressupostos!$B$30,0)</f>
        <v>637.08269256959409</v>
      </c>
      <c r="G27" s="236">
        <f>+IF(PlanoFinanceiro!H29&gt;0,PlanoFinanceiro!H29*Pressupostos!$B$30,0)</f>
        <v>1393.3332435068135</v>
      </c>
    </row>
    <row r="28" spans="1:7">
      <c r="A28" s="162" t="s">
        <v>286</v>
      </c>
      <c r="B28" s="236">
        <f>Financiamento!C97+IF(PlanoFinanceiro!C29&lt;0,-PlanoFinanceiro!C29*Pressupostos!$B$32,0)</f>
        <v>55.807289882227018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0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305</v>
      </c>
      <c r="B29" s="56">
        <f t="shared" ref="B29:G29" si="2">+B26+B27-B28</f>
        <v>-13974.020623215558</v>
      </c>
      <c r="C29" s="56">
        <f t="shared" si="2"/>
        <v>29985.269105618132</v>
      </c>
      <c r="D29" s="56">
        <f t="shared" si="2"/>
        <v>-148.29539951215787</v>
      </c>
      <c r="E29" s="56">
        <f t="shared" si="2"/>
        <v>12838.007775027841</v>
      </c>
      <c r="F29" s="56">
        <f t="shared" si="2"/>
        <v>44022.917939162209</v>
      </c>
      <c r="G29" s="56">
        <f t="shared" si="2"/>
        <v>120204.53801217218</v>
      </c>
    </row>
    <row r="30" spans="1:7" ht="13.5" thickTop="1">
      <c r="A30" s="162" t="s">
        <v>288</v>
      </c>
      <c r="B30" s="236">
        <f>IF(B29&gt;0,B29*Pressupostos!$B$28,0)</f>
        <v>0</v>
      </c>
      <c r="C30" s="236">
        <f>IF(C29+C32&lt;0,0,(C29+C32)*Pressupostos!$B$28)</f>
        <v>3202.249696480515</v>
      </c>
      <c r="D30" s="236">
        <f>IF(D29+D32&lt;0,0,(D29+D32)*Pressupostos!$B$28)</f>
        <v>0</v>
      </c>
      <c r="E30" s="236">
        <f>IF(E29+E32&lt;0,0,(E29+E32)*Pressupostos!$B$28)</f>
        <v>2537.942475103137</v>
      </c>
      <c r="F30" s="236">
        <f>IF(F29+F32&lt;0,0,(F29+F32)*Pressupostos!$B$28)</f>
        <v>8804.5835878324415</v>
      </c>
      <c r="G30" s="236">
        <f>IF(G29+G32&lt;0,0,(G29+G32)*Pressupostos!$B$28)</f>
        <v>24040.907602434439</v>
      </c>
    </row>
    <row r="31" spans="1:7" ht="13.5" thickBot="1">
      <c r="A31" s="237" t="s">
        <v>289</v>
      </c>
      <c r="B31" s="56">
        <f t="shared" ref="B31:G31" si="3">+B29-B30</f>
        <v>-13974.020623215558</v>
      </c>
      <c r="C31" s="56">
        <f t="shared" si="3"/>
        <v>26783.019409137618</v>
      </c>
      <c r="D31" s="56">
        <f t="shared" si="3"/>
        <v>-148.29539951215787</v>
      </c>
      <c r="E31" s="56">
        <f t="shared" si="3"/>
        <v>10300.065299924705</v>
      </c>
      <c r="F31" s="56">
        <f t="shared" si="3"/>
        <v>35218.334351329766</v>
      </c>
      <c r="G31" s="56">
        <f t="shared" si="3"/>
        <v>96163.630409737743</v>
      </c>
    </row>
    <row r="32" spans="1:7" ht="13.5" thickTop="1">
      <c r="A32" s="165"/>
      <c r="B32" s="238"/>
      <c r="C32" s="238">
        <f>IF(B31&lt;0,B31,0)</f>
        <v>-13974.020623215558</v>
      </c>
      <c r="D32" s="238">
        <f>IF(C31+C32&lt;0,C31+C32,0)</f>
        <v>0</v>
      </c>
      <c r="E32" s="238">
        <f>IF(D31+D32&lt;0,D31+D32,0)</f>
        <v>-148.29539951215787</v>
      </c>
      <c r="F32" s="238">
        <f>IF(E31+E32&lt;0,E31+E32,0)</f>
        <v>0</v>
      </c>
      <c r="G32" s="238">
        <f>IF(F31+F32&lt;0,F31+F32,0)</f>
        <v>0</v>
      </c>
    </row>
    <row r="33" spans="2:7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honeticPr fontId="2" type="noConversion"/>
  <printOptions horizontalCentered="1"/>
  <pageMargins left="3.937007874015748E-2" right="3.937007874015748E-2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Normal="100" workbookViewId="0">
      <selection activeCell="G7" sqref="A7:G13"/>
    </sheetView>
  </sheetViews>
  <sheetFormatPr defaultColWidth="8.7109375" defaultRowHeight="12.75"/>
  <cols>
    <col min="1" max="1" width="53.7109375" style="93" customWidth="1"/>
    <col min="2" max="6" width="11.42578125" style="93" customWidth="1"/>
    <col min="7" max="7" width="11.85546875" style="93" customWidth="1"/>
    <col min="8" max="16384" width="8.7109375" style="93"/>
  </cols>
  <sheetData>
    <row r="1" spans="1:7" ht="13.5">
      <c r="A1" s="83"/>
      <c r="B1" s="83"/>
      <c r="C1" s="117"/>
      <c r="D1" s="73"/>
      <c r="E1" s="73"/>
      <c r="F1" s="119" t="s">
        <v>65</v>
      </c>
      <c r="G1" s="119" t="str">
        <f>+Pressupostos!E1</f>
        <v>Portugal OutofTrack</v>
      </c>
    </row>
    <row r="2" spans="1:7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>
      <c r="A3" s="83"/>
      <c r="B3" s="83"/>
      <c r="C3" s="83"/>
      <c r="D3" s="83"/>
      <c r="E3" s="83"/>
      <c r="F3" s="83"/>
      <c r="G3" s="78"/>
    </row>
    <row r="4" spans="1:7" ht="15.75">
      <c r="A4" s="460" t="s">
        <v>422</v>
      </c>
      <c r="B4" s="460"/>
      <c r="C4" s="460"/>
      <c r="D4" s="460"/>
      <c r="E4" s="460"/>
      <c r="F4" s="460"/>
      <c r="G4" s="460"/>
    </row>
    <row r="5" spans="1:7">
      <c r="A5" s="83"/>
      <c r="B5" s="173"/>
      <c r="C5" s="83"/>
      <c r="D5" s="83"/>
      <c r="E5" s="83"/>
      <c r="F5" s="83"/>
      <c r="G5" s="83"/>
    </row>
    <row r="6" spans="1:7">
      <c r="A6" s="83"/>
      <c r="B6" s="235"/>
      <c r="C6" s="83"/>
      <c r="D6" s="83"/>
      <c r="E6" s="83"/>
      <c r="F6" s="83"/>
      <c r="G6" s="83"/>
    </row>
    <row r="7" spans="1:7">
      <c r="A7" s="162"/>
      <c r="B7" s="80">
        <f>+VN!C8</f>
        <v>2012</v>
      </c>
      <c r="C7" s="80">
        <f>+VN!D8</f>
        <v>2013</v>
      </c>
      <c r="D7" s="80">
        <f>+VN!E8</f>
        <v>2014</v>
      </c>
      <c r="E7" s="80">
        <f>+VN!F8</f>
        <v>2015</v>
      </c>
      <c r="F7" s="80">
        <f>+VN!G8</f>
        <v>2016</v>
      </c>
      <c r="G7" s="80">
        <f>+VN!H8</f>
        <v>2017</v>
      </c>
    </row>
    <row r="8" spans="1:7">
      <c r="A8" s="150" t="str">
        <f>DR!A8</f>
        <v>Vendas e serviços prestados</v>
      </c>
      <c r="B8" s="434">
        <f>DR!B8</f>
        <v>15075</v>
      </c>
      <c r="C8" s="434">
        <f>DR!C8</f>
        <v>180687.5</v>
      </c>
      <c r="D8" s="434">
        <f>DR!D8</f>
        <v>376625</v>
      </c>
      <c r="E8" s="434">
        <f>DR!E8</f>
        <v>554775</v>
      </c>
      <c r="F8" s="434">
        <f>DR!F8</f>
        <v>722800</v>
      </c>
      <c r="G8" s="434">
        <f>DR!G8</f>
        <v>903150</v>
      </c>
    </row>
    <row r="9" spans="1:7">
      <c r="A9" s="162" t="str">
        <f>DR!A11</f>
        <v>Variação nos inventários da produção</v>
      </c>
      <c r="B9" s="434">
        <f>DR!B11</f>
        <v>0</v>
      </c>
      <c r="C9" s="434">
        <f>DR!C11</f>
        <v>0</v>
      </c>
      <c r="D9" s="434">
        <f>DR!D11</f>
        <v>0</v>
      </c>
      <c r="E9" s="434">
        <f>DR!E11</f>
        <v>0</v>
      </c>
      <c r="F9" s="434">
        <f>DR!F11</f>
        <v>0</v>
      </c>
      <c r="G9" s="434">
        <f>DR!G11</f>
        <v>0</v>
      </c>
    </row>
    <row r="10" spans="1:7">
      <c r="A10" s="162" t="s">
        <v>22</v>
      </c>
      <c r="B10" s="434">
        <f>DR!B13</f>
        <v>7904.7</v>
      </c>
      <c r="C10" s="434">
        <f>DR!C13</f>
        <v>99893.487500000003</v>
      </c>
      <c r="D10" s="434">
        <f>DR!D13</f>
        <v>207032.75750000001</v>
      </c>
      <c r="E10" s="434">
        <f>DR!E13</f>
        <v>318417.44959999999</v>
      </c>
      <c r="F10" s="434">
        <f>DR!F13</f>
        <v>417631.89409750002</v>
      </c>
      <c r="G10" s="434">
        <f>DR!G13</f>
        <v>514506.36124574998</v>
      </c>
    </row>
    <row r="11" spans="1:7">
      <c r="A11" s="162" t="s">
        <v>420</v>
      </c>
      <c r="B11" s="434">
        <f>FSE!F47</f>
        <v>0</v>
      </c>
      <c r="C11" s="434">
        <f>FSE!G47</f>
        <v>0</v>
      </c>
      <c r="D11" s="434">
        <f>FSE!H47</f>
        <v>0</v>
      </c>
      <c r="E11" s="434">
        <f>FSE!I47</f>
        <v>0</v>
      </c>
      <c r="F11" s="434">
        <f>FSE!J47</f>
        <v>0</v>
      </c>
      <c r="G11" s="434">
        <f>FSE!K47</f>
        <v>0</v>
      </c>
    </row>
    <row r="12" spans="1:7">
      <c r="A12" s="432" t="s">
        <v>419</v>
      </c>
      <c r="B12" s="435">
        <f t="shared" ref="B12:G12" si="0">B8+B9-B10-B11</f>
        <v>7170.3</v>
      </c>
      <c r="C12" s="435">
        <f t="shared" si="0"/>
        <v>80794.012499999997</v>
      </c>
      <c r="D12" s="435">
        <f t="shared" si="0"/>
        <v>169592.24249999999</v>
      </c>
      <c r="E12" s="435">
        <f t="shared" si="0"/>
        <v>236357.55040000001</v>
      </c>
      <c r="F12" s="435">
        <f t="shared" si="0"/>
        <v>305168.10590249998</v>
      </c>
      <c r="G12" s="435">
        <f t="shared" si="0"/>
        <v>388643.63875425002</v>
      </c>
    </row>
    <row r="13" spans="1:7">
      <c r="A13" s="433" t="s">
        <v>421</v>
      </c>
      <c r="B13" s="436">
        <f>(FSE!F45+DR!B15+DR!B24+DR!B25+DR!B18)/(B12/'Ponto Crítico'!B8)</f>
        <v>44336.964771348481</v>
      </c>
      <c r="C13" s="436">
        <f>(FSE!G45+DR!C15+DR!C24+DR!C25+DR!C18)/(C12/'Ponto Crítico'!C8)</f>
        <v>114158.63855154697</v>
      </c>
      <c r="D13" s="436">
        <f>(FSE!H45+DR!D15+DR!D24+DR!D25+DR!D18)/(D12/'Ponto Crítico'!D8)</f>
        <v>377562.97817421058</v>
      </c>
      <c r="E13" s="436">
        <f>(FSE!I45+DR!E15+DR!E24+DR!E25+DR!E18)/(E12/'Ponto Crítico'!E8)</f>
        <v>525480.12187276466</v>
      </c>
      <c r="F13" s="436">
        <f>(FSE!J45+DR!F15+DR!F24+DR!F25+DR!F18)/(F12/'Ponto Crítico'!F8)</f>
        <v>620039.32118169544</v>
      </c>
      <c r="G13" s="436">
        <f>(FSE!K45+DR!G15+DR!G24+DR!G25+DR!G18)/(G12/'Ponto Crítico'!G8)</f>
        <v>627050.43503408122</v>
      </c>
    </row>
  </sheetData>
  <sheetProtection password="8318" sheet="1" objects="1" scenarios="1"/>
  <mergeCells count="1">
    <mergeCell ref="A4:G4"/>
  </mergeCells>
  <phoneticPr fontId="18" type="noConversion"/>
  <printOptions horizontalCentered="1"/>
  <pageMargins left="3.937007874015748E-2" right="3.937007874015748E-2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workbookViewId="0"/>
  </sheetViews>
  <sheetFormatPr defaultColWidth="8.7109375" defaultRowHeight="10.5"/>
  <cols>
    <col min="1" max="1" width="30.85546875" style="242" customWidth="1"/>
    <col min="2" max="2" width="7.5703125" style="242" customWidth="1"/>
    <col min="3" max="13" width="11.42578125" style="242" customWidth="1"/>
    <col min="14" max="16384" width="8.7109375" style="242"/>
  </cols>
  <sheetData>
    <row r="1" spans="1:8" ht="13.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Portugal OutofTrack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0" t="s">
        <v>60</v>
      </c>
      <c r="B4" s="460"/>
      <c r="C4" s="460"/>
      <c r="D4" s="460"/>
      <c r="E4" s="460"/>
      <c r="F4" s="460"/>
      <c r="G4" s="460"/>
      <c r="H4" s="460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160</v>
      </c>
      <c r="B9" s="244"/>
      <c r="C9" s="138">
        <f>+DR!B26*(1-Pressupostos!$B$28)</f>
        <v>-11134.570666666667</v>
      </c>
      <c r="D9" s="138">
        <f>+DR!C26*(1-Pressupostos!$B$28)</f>
        <v>23798.58557333333</v>
      </c>
      <c r="E9" s="138">
        <f>+DR!D26*(1-Pressupostos!$B$28)</f>
        <v>-337.89328266667729</v>
      </c>
      <c r="F9" s="138">
        <f>+DR!E26*(1-Pressupostos!$B$28)</f>
        <v>9984.6829917280011</v>
      </c>
      <c r="G9" s="138">
        <f>+DR!F26*(1-Pressupostos!$B$28)</f>
        <v>34708.668197274092</v>
      </c>
      <c r="H9" s="138">
        <f>+DR!G26*(1-Pressupostos!$B$28)</f>
        <v>95048.9638149323</v>
      </c>
    </row>
    <row r="10" spans="1:8" ht="12.75">
      <c r="A10" s="84" t="s">
        <v>363</v>
      </c>
      <c r="B10" s="244"/>
      <c r="C10" s="138">
        <f>+DR!B24</f>
        <v>8333.3333333333321</v>
      </c>
      <c r="D10" s="138">
        <f>+DR!C24</f>
        <v>8333.3333333333321</v>
      </c>
      <c r="E10" s="138">
        <f>+DR!D24</f>
        <v>8333.3333333333321</v>
      </c>
      <c r="F10" s="138">
        <f>+DR!E24</f>
        <v>0</v>
      </c>
      <c r="G10" s="138">
        <f>+DR!F24</f>
        <v>0</v>
      </c>
      <c r="H10" s="138">
        <f>+DR!G24</f>
        <v>0</v>
      </c>
    </row>
    <row r="11" spans="1:8" ht="12.75">
      <c r="A11" s="84" t="s">
        <v>210</v>
      </c>
      <c r="B11" s="244"/>
      <c r="C11" s="138">
        <f>+DR!B25</f>
        <v>0</v>
      </c>
      <c r="D11" s="138">
        <f>+DR!C25</f>
        <v>0</v>
      </c>
      <c r="E11" s="138">
        <f>+DR!D25</f>
        <v>0</v>
      </c>
      <c r="F11" s="138">
        <f>+DR!E25</f>
        <v>0</v>
      </c>
      <c r="G11" s="138">
        <f>+DR!F25</f>
        <v>0</v>
      </c>
      <c r="H11" s="138">
        <f>+DR!G25</f>
        <v>0</v>
      </c>
    </row>
    <row r="12" spans="1:8" ht="13.5" thickBot="1">
      <c r="A12" s="84"/>
      <c r="B12" s="151"/>
      <c r="C12" s="181">
        <f t="shared" ref="C12:H12" si="0">SUM(C9:C11)</f>
        <v>-2801.2373333333344</v>
      </c>
      <c r="D12" s="181">
        <f t="shared" si="0"/>
        <v>32131.918906666662</v>
      </c>
      <c r="E12" s="181">
        <f t="shared" si="0"/>
        <v>7995.4400506666552</v>
      </c>
      <c r="F12" s="181">
        <f t="shared" si="0"/>
        <v>9984.6829917280011</v>
      </c>
      <c r="G12" s="181">
        <f t="shared" si="0"/>
        <v>34708.668197274092</v>
      </c>
      <c r="H12" s="181">
        <f t="shared" si="0"/>
        <v>95048.9638149323</v>
      </c>
    </row>
    <row r="13" spans="1:8" ht="13.5" thickTop="1">
      <c r="A13" s="94" t="s">
        <v>161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-207.29937500000005</v>
      </c>
      <c r="D14" s="138">
        <f>-FundoManeio!D24</f>
        <v>-3017.2850607638898</v>
      </c>
      <c r="E14" s="138">
        <f>-FundoManeio!E24</f>
        <v>178.60579166666412</v>
      </c>
      <c r="F14" s="138">
        <f>-FundoManeio!F24</f>
        <v>-1020.2078814583274</v>
      </c>
      <c r="G14" s="138">
        <f>-FundoManeio!G24</f>
        <v>-1546.8207646024348</v>
      </c>
      <c r="H14" s="138">
        <f>-FundoManeio!H24</f>
        <v>-3418.5614333083649</v>
      </c>
    </row>
    <row r="15" spans="1:8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t="shared" ref="C16:H16" si="1">+SUM(C12:C14)</f>
        <v>-3008.5367083333344</v>
      </c>
      <c r="D16" s="181">
        <f t="shared" si="1"/>
        <v>29114.633845902772</v>
      </c>
      <c r="E16" s="181">
        <f t="shared" si="1"/>
        <v>8174.0458423333193</v>
      </c>
      <c r="F16" s="181">
        <f t="shared" si="1"/>
        <v>8964.4751102696737</v>
      </c>
      <c r="G16" s="181">
        <f t="shared" si="1"/>
        <v>33161.847432671653</v>
      </c>
      <c r="H16" s="181">
        <f t="shared" si="1"/>
        <v>91630.402381623935</v>
      </c>
    </row>
    <row r="17" spans="1:9" ht="13.5" thickTop="1">
      <c r="A17" s="250"/>
      <c r="B17" s="251"/>
      <c r="C17" s="252"/>
      <c r="D17" s="252"/>
      <c r="E17" s="252"/>
      <c r="F17" s="252"/>
      <c r="G17" s="252"/>
      <c r="H17" s="252"/>
    </row>
    <row r="18" spans="1:9" ht="12.75">
      <c r="A18" s="94" t="s">
        <v>162</v>
      </c>
      <c r="B18" s="245"/>
      <c r="C18" s="246"/>
      <c r="D18" s="246"/>
      <c r="E18" s="246"/>
      <c r="F18" s="246"/>
      <c r="G18" s="246"/>
      <c r="H18" s="246"/>
    </row>
    <row r="19" spans="1:9" ht="12.75">
      <c r="A19" s="84" t="s">
        <v>91</v>
      </c>
      <c r="B19" s="244"/>
      <c r="C19" s="138">
        <f>-Investimento!C29</f>
        <v>-30000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9" ht="12.75">
      <c r="A20" s="173"/>
      <c r="B20" s="251"/>
      <c r="C20" s="252"/>
      <c r="D20" s="252"/>
      <c r="E20" s="252"/>
      <c r="F20" s="252"/>
      <c r="G20" s="252"/>
      <c r="H20" s="252"/>
    </row>
    <row r="21" spans="1:9" ht="13.5" thickBot="1">
      <c r="A21" s="185" t="s">
        <v>128</v>
      </c>
      <c r="B21" s="249"/>
      <c r="C21" s="181">
        <f t="shared" ref="C21:H21" si="2">+C12+C14+C19</f>
        <v>-33008.536708333333</v>
      </c>
      <c r="D21" s="181">
        <f t="shared" si="2"/>
        <v>29114.633845902772</v>
      </c>
      <c r="E21" s="181">
        <f t="shared" si="2"/>
        <v>8174.0458423333193</v>
      </c>
      <c r="F21" s="181">
        <f t="shared" si="2"/>
        <v>8964.4751102696737</v>
      </c>
      <c r="G21" s="181">
        <f t="shared" si="2"/>
        <v>33161.847432671653</v>
      </c>
      <c r="H21" s="181">
        <f t="shared" si="2"/>
        <v>91630.402381623935</v>
      </c>
    </row>
    <row r="22" spans="1:9" ht="13.5" thickTop="1">
      <c r="A22" s="250"/>
      <c r="B22" s="251"/>
      <c r="C22" s="252"/>
      <c r="D22" s="252"/>
      <c r="E22" s="252"/>
      <c r="F22" s="252"/>
      <c r="G22" s="252"/>
      <c r="H22" s="252"/>
    </row>
    <row r="23" spans="1:9" ht="13.5" thickBot="1">
      <c r="A23" s="185" t="s">
        <v>114</v>
      </c>
      <c r="B23" s="249"/>
      <c r="C23" s="181">
        <f>+SUM(C21)</f>
        <v>-33008.536708333333</v>
      </c>
      <c r="D23" s="181">
        <f>+SUM($C$21:D21)</f>
        <v>-3893.9028624305611</v>
      </c>
      <c r="E23" s="181">
        <f>+SUM($C$21:E21)</f>
        <v>4280.1429799027583</v>
      </c>
      <c r="F23" s="181">
        <f>+SUM($C$21:F21)</f>
        <v>13244.618090172433</v>
      </c>
      <c r="G23" s="181">
        <f>+SUM($C$21:G21)</f>
        <v>46406.465522844082</v>
      </c>
      <c r="H23" s="181">
        <f>+SUM($C$21:H21)</f>
        <v>138036.86790446803</v>
      </c>
    </row>
    <row r="24" spans="1:9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9" ht="12.75">
      <c r="A26" s="259"/>
      <c r="B26" s="256"/>
      <c r="C26" s="254"/>
      <c r="D26" s="254"/>
      <c r="E26" s="254"/>
      <c r="F26" s="254"/>
      <c r="G26" s="254"/>
      <c r="H26" s="254"/>
    </row>
    <row r="27" spans="1:9" ht="12.75">
      <c r="A27" s="259"/>
      <c r="B27" s="256"/>
      <c r="C27" s="254"/>
      <c r="D27" s="254"/>
      <c r="E27" s="254"/>
      <c r="F27" s="254"/>
      <c r="G27" s="254"/>
      <c r="H27" s="254"/>
    </row>
    <row r="28" spans="1:9" ht="12.75">
      <c r="A28" s="259"/>
      <c r="B28" s="256"/>
      <c r="C28" s="254"/>
      <c r="D28" s="254"/>
      <c r="E28" s="254"/>
      <c r="F28" s="254"/>
      <c r="G28" s="254"/>
      <c r="H28" s="254"/>
    </row>
    <row r="29" spans="1:9" ht="12.75">
      <c r="A29" s="259"/>
      <c r="B29" s="256"/>
      <c r="C29" s="254"/>
      <c r="D29" s="254"/>
      <c r="E29" s="254"/>
      <c r="F29" s="254"/>
      <c r="G29" s="254"/>
      <c r="H29" s="254"/>
    </row>
    <row r="30" spans="1:9" ht="12.75">
      <c r="A30" s="259"/>
      <c r="B30" s="256"/>
      <c r="C30" s="254"/>
      <c r="D30" s="254"/>
      <c r="E30" s="254"/>
      <c r="F30" s="254"/>
      <c r="G30" s="254"/>
      <c r="H30" s="254"/>
    </row>
    <row r="31" spans="1:9" ht="12.75">
      <c r="A31" s="259"/>
      <c r="B31" s="256"/>
      <c r="C31" s="254"/>
      <c r="D31" s="254"/>
      <c r="E31" s="254"/>
      <c r="F31" s="254"/>
      <c r="G31" s="254"/>
      <c r="H31" s="254"/>
    </row>
    <row r="32" spans="1:9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1:8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topLeftCell="A8" zoomScaleNormal="100" workbookViewId="0">
      <selection activeCell="H30" sqref="H30"/>
    </sheetView>
  </sheetViews>
  <sheetFormatPr defaultColWidth="8.7109375" defaultRowHeight="12.75"/>
  <cols>
    <col min="1" max="1" width="30.5703125" style="93" customWidth="1"/>
    <col min="2" max="2" width="3.140625" style="93" customWidth="1"/>
    <col min="3" max="3" width="13.5703125" style="93" customWidth="1"/>
    <col min="4" max="4" width="12.140625" style="93" customWidth="1"/>
    <col min="5" max="8" width="11.7109375" style="93" customWidth="1"/>
    <col min="9" max="16384" width="8.7109375" style="93"/>
  </cols>
  <sheetData>
    <row r="1" spans="1:8" ht="13.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Portugal OutofTrack</v>
      </c>
    </row>
    <row r="2" spans="1:8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>
      <c r="A3" s="83"/>
      <c r="B3" s="83"/>
      <c r="C3" s="83"/>
      <c r="D3" s="83"/>
      <c r="E3" s="83"/>
      <c r="F3" s="83"/>
      <c r="G3" s="83"/>
      <c r="H3" s="78"/>
    </row>
    <row r="4" spans="1:8" ht="15.75">
      <c r="A4" s="460" t="s">
        <v>164</v>
      </c>
      <c r="B4" s="460"/>
      <c r="C4" s="460"/>
      <c r="D4" s="460"/>
      <c r="E4" s="460"/>
      <c r="F4" s="460"/>
      <c r="G4" s="460"/>
      <c r="H4" s="460"/>
    </row>
    <row r="5" spans="1:8">
      <c r="A5" s="83"/>
      <c r="B5" s="83"/>
      <c r="C5" s="83"/>
      <c r="D5" s="83"/>
      <c r="E5" s="83"/>
      <c r="F5" s="83"/>
      <c r="G5" s="83"/>
      <c r="H5" s="83"/>
    </row>
    <row r="6" spans="1:8">
      <c r="A6" s="83"/>
      <c r="B6" s="83"/>
      <c r="C6" s="83"/>
      <c r="D6" s="83"/>
      <c r="E6" s="83"/>
      <c r="F6" s="83"/>
      <c r="G6" s="83"/>
      <c r="H6" s="83"/>
    </row>
    <row r="7" spans="1:8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>
      <c r="A8" s="503" t="s">
        <v>107</v>
      </c>
      <c r="B8" s="504"/>
      <c r="C8" s="138"/>
      <c r="D8" s="138"/>
      <c r="E8" s="138"/>
      <c r="F8" s="138"/>
      <c r="G8" s="138"/>
      <c r="H8" s="138"/>
    </row>
    <row r="9" spans="1:8">
      <c r="A9" s="149" t="s">
        <v>97</v>
      </c>
      <c r="B9" s="124"/>
      <c r="C9" s="263">
        <f>+DR!B26+DR!B24+DR!B25</f>
        <v>-5584.8799999999992</v>
      </c>
      <c r="D9" s="263">
        <f>+DR!C26+DR!C24+DR!C25</f>
        <v>38081.565299999995</v>
      </c>
      <c r="E9" s="263">
        <f>+DR!D26+DR!D24+DR!D25</f>
        <v>7910.9667299999855</v>
      </c>
      <c r="F9" s="263">
        <f>+DR!E26+DR!E24+DR!E25</f>
        <v>12480.85373966</v>
      </c>
      <c r="G9" s="263">
        <f>+DR!F26+DR!F24+DR!F25</f>
        <v>43385.835246592615</v>
      </c>
      <c r="H9" s="263">
        <f>+DR!G26+DR!G24+DR!G25</f>
        <v>118811.20476866537</v>
      </c>
    </row>
    <row r="10" spans="1:8">
      <c r="A10" s="149" t="s">
        <v>167</v>
      </c>
      <c r="B10" s="124"/>
      <c r="C10" s="263">
        <f>+Financiamento!C15</f>
        <v>5000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>
      <c r="A11" s="149" t="s">
        <v>386</v>
      </c>
      <c r="B11" s="124"/>
      <c r="C11" s="263">
        <f>+Financiamento!C16+Financiamento!C17+Financiamento!C19</f>
        <v>30000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>
      <c r="A12" s="149" t="s">
        <v>168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178.60579166666412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>
      <c r="A15" s="149" t="s">
        <v>49</v>
      </c>
      <c r="B15" s="124"/>
      <c r="C15" s="263">
        <f>+DR!B27</f>
        <v>0</v>
      </c>
      <c r="D15" s="263">
        <f>+DR!C27</f>
        <v>237.03713895147075</v>
      </c>
      <c r="E15" s="263">
        <f>+DR!D27</f>
        <v>274.0712038211887</v>
      </c>
      <c r="F15" s="263">
        <f>+DR!E27</f>
        <v>357.15403536784191</v>
      </c>
      <c r="G15" s="263">
        <f>+DR!F27</f>
        <v>637.08269256959409</v>
      </c>
      <c r="H15" s="263">
        <f>+DR!G27</f>
        <v>1393.3332435068135</v>
      </c>
    </row>
    <row r="16" spans="1:8">
      <c r="A16" s="507"/>
      <c r="B16" s="508"/>
      <c r="C16" s="264"/>
      <c r="D16" s="264"/>
      <c r="E16" s="264"/>
      <c r="F16" s="264"/>
      <c r="G16" s="264"/>
      <c r="H16" s="264"/>
    </row>
    <row r="17" spans="1:8">
      <c r="A17" s="505" t="s">
        <v>100</v>
      </c>
      <c r="B17" s="506"/>
      <c r="C17" s="265">
        <f t="shared" ref="C17:H17" si="0">+SUM(C9:C16)</f>
        <v>29415.120000000003</v>
      </c>
      <c r="D17" s="265">
        <f t="shared" si="0"/>
        <v>38318.602438951464</v>
      </c>
      <c r="E17" s="265">
        <f t="shared" si="0"/>
        <v>8363.6437254878383</v>
      </c>
      <c r="F17" s="265">
        <f t="shared" si="0"/>
        <v>12838.007775027841</v>
      </c>
      <c r="G17" s="265">
        <f t="shared" si="0"/>
        <v>44022.917939162209</v>
      </c>
      <c r="H17" s="265">
        <f t="shared" si="0"/>
        <v>120204.53801217218</v>
      </c>
    </row>
    <row r="18" spans="1:8" ht="14.25" customHeight="1">
      <c r="A18" s="503" t="s">
        <v>108</v>
      </c>
      <c r="B18" s="504"/>
      <c r="C18" s="266"/>
      <c r="D18" s="266"/>
      <c r="E18" s="266"/>
      <c r="F18" s="266"/>
      <c r="G18" s="266"/>
      <c r="H18" s="266"/>
    </row>
    <row r="19" spans="1:8">
      <c r="A19" s="149" t="s">
        <v>101</v>
      </c>
      <c r="B19" s="104"/>
      <c r="C19" s="263">
        <f>+Investimento!C29</f>
        <v>30000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>
      <c r="A20" s="149" t="s">
        <v>102</v>
      </c>
      <c r="B20" s="104"/>
      <c r="C20" s="263">
        <f>+IF(FundoManeio!C24&gt;0,FundoManeio!C24,0)</f>
        <v>207.29937500000005</v>
      </c>
      <c r="D20" s="263">
        <f>+IF(FundoManeio!D24&gt;0,FundoManeio!D24,0)</f>
        <v>3017.2850607638898</v>
      </c>
      <c r="E20" s="263">
        <f>+IF(FundoManeio!E24&gt;0,FundoManeio!E24,0)</f>
        <v>0</v>
      </c>
      <c r="F20" s="263">
        <f>+IF(FundoManeio!F24&gt;0,FundoManeio!F24,0)</f>
        <v>1020.2078814583274</v>
      </c>
      <c r="G20" s="263">
        <f>+IF(FundoManeio!G24&gt;0,FundoManeio!G24,0)</f>
        <v>1546.8207646024348</v>
      </c>
      <c r="H20" s="263">
        <f>+IF(FundoManeio!H24&gt;0,FundoManeio!H24,0)</f>
        <v>3418.5614333083649</v>
      </c>
    </row>
    <row r="21" spans="1:8">
      <c r="A21" s="149" t="s">
        <v>165</v>
      </c>
      <c r="B21" s="104"/>
      <c r="C21" s="263"/>
      <c r="D21" s="263">
        <f>+DR!B30</f>
        <v>0</v>
      </c>
      <c r="E21" s="263">
        <f>+DR!C30</f>
        <v>3202.249696480515</v>
      </c>
      <c r="F21" s="263">
        <f>+DR!D30</f>
        <v>0</v>
      </c>
      <c r="G21" s="263">
        <f>+DR!E30</f>
        <v>2537.942475103137</v>
      </c>
      <c r="H21" s="263">
        <f>+DR!F30</f>
        <v>8804.5835878324415</v>
      </c>
    </row>
    <row r="22" spans="1:8">
      <c r="A22" s="149" t="s">
        <v>166</v>
      </c>
      <c r="B22" s="104"/>
      <c r="C22" s="263"/>
      <c r="D22" s="263"/>
      <c r="E22" s="263"/>
      <c r="F22" s="263"/>
      <c r="G22" s="263"/>
      <c r="H22" s="263"/>
    </row>
    <row r="23" spans="1:8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>
      <c r="A24" s="149" t="s">
        <v>104</v>
      </c>
      <c r="B24" s="104"/>
      <c r="C24" s="263">
        <f>+DR!B28</f>
        <v>55.807289882227018</v>
      </c>
      <c r="D24" s="263">
        <f>+DR!C28</f>
        <v>0</v>
      </c>
      <c r="E24" s="263">
        <f>+DR!D28</f>
        <v>0</v>
      </c>
      <c r="F24" s="263">
        <f>+DR!E28</f>
        <v>0</v>
      </c>
      <c r="G24" s="263">
        <f>+DR!F28</f>
        <v>0</v>
      </c>
      <c r="H24" s="263">
        <f>+DR!G28</f>
        <v>0</v>
      </c>
    </row>
    <row r="25" spans="1:8">
      <c r="A25" s="507"/>
      <c r="B25" s="508"/>
      <c r="C25" s="264"/>
      <c r="D25" s="264"/>
      <c r="E25" s="264"/>
      <c r="F25" s="264"/>
      <c r="G25" s="264"/>
      <c r="H25" s="264"/>
    </row>
    <row r="26" spans="1:8">
      <c r="A26" s="505" t="s">
        <v>105</v>
      </c>
      <c r="B26" s="506"/>
      <c r="C26" s="265">
        <f t="shared" ref="C26:H26" si="1">+SUM(C19:C25)</f>
        <v>30263.106664882227</v>
      </c>
      <c r="D26" s="265">
        <f t="shared" si="1"/>
        <v>3017.2850607638898</v>
      </c>
      <c r="E26" s="265">
        <f t="shared" si="1"/>
        <v>3202.249696480515</v>
      </c>
      <c r="F26" s="265">
        <f t="shared" si="1"/>
        <v>1020.2078814583274</v>
      </c>
      <c r="G26" s="265">
        <f t="shared" si="1"/>
        <v>4084.7632397055718</v>
      </c>
      <c r="H26" s="265">
        <f t="shared" si="1"/>
        <v>12223.145021140806</v>
      </c>
    </row>
    <row r="27" spans="1:8">
      <c r="A27" s="509" t="s">
        <v>106</v>
      </c>
      <c r="B27" s="510"/>
      <c r="C27" s="265">
        <f t="shared" ref="C27:H27" si="2">+C17-C26</f>
        <v>-847.98666488222443</v>
      </c>
      <c r="D27" s="265">
        <f t="shared" si="2"/>
        <v>35301.317378187574</v>
      </c>
      <c r="E27" s="265">
        <f t="shared" si="2"/>
        <v>5161.3940290073233</v>
      </c>
      <c r="F27" s="265">
        <f t="shared" si="2"/>
        <v>11817.799893569514</v>
      </c>
      <c r="G27" s="265">
        <f t="shared" si="2"/>
        <v>39938.154699456638</v>
      </c>
      <c r="H27" s="265">
        <f t="shared" si="2"/>
        <v>107981.39299103137</v>
      </c>
    </row>
    <row r="28" spans="1:8">
      <c r="A28" s="509" t="s">
        <v>115</v>
      </c>
      <c r="B28" s="510"/>
      <c r="C28" s="265">
        <f>+C27</f>
        <v>-847.98666488222443</v>
      </c>
      <c r="D28" s="265">
        <f>+C28+D27</f>
        <v>34453.330713305346</v>
      </c>
      <c r="E28" s="265">
        <f>+D28+E27</f>
        <v>39614.724742312668</v>
      </c>
      <c r="F28" s="265">
        <f>+E28+F27</f>
        <v>51432.524635882182</v>
      </c>
      <c r="G28" s="265">
        <f>+F28+G27</f>
        <v>91370.67933533882</v>
      </c>
      <c r="H28" s="265">
        <f>+G28+H27</f>
        <v>199352.07232637019</v>
      </c>
    </row>
    <row r="29" spans="1:8">
      <c r="A29" s="509" t="s">
        <v>211</v>
      </c>
      <c r="B29" s="510"/>
      <c r="C29" s="68">
        <v>-845.56499821556088</v>
      </c>
      <c r="D29" s="68">
        <v>33862.448421638677</v>
      </c>
      <c r="E29" s="68">
        <v>39153.029117312668</v>
      </c>
      <c r="F29" s="68">
        <v>51022.005052548848</v>
      </c>
      <c r="G29" s="68">
        <v>91011.813224227721</v>
      </c>
      <c r="H29" s="68">
        <v>199047.60621525906</v>
      </c>
    </row>
    <row r="30" spans="1:8">
      <c r="A30" s="509" t="s">
        <v>116</v>
      </c>
      <c r="B30" s="510"/>
      <c r="C30" s="68">
        <f t="shared" ref="C30:H30" si="3">+C28-C29</f>
        <v>-2.4216666666635547</v>
      </c>
      <c r="D30" s="68">
        <f t="shared" si="3"/>
        <v>590.88229166666861</v>
      </c>
      <c r="E30" s="68">
        <f t="shared" si="3"/>
        <v>461.69562500000029</v>
      </c>
      <c r="F30" s="68">
        <f t="shared" si="3"/>
        <v>410.51958333333459</v>
      </c>
      <c r="G30" s="68">
        <f t="shared" si="3"/>
        <v>358.8661111110996</v>
      </c>
      <c r="H30" s="68">
        <f t="shared" si="3"/>
        <v>304.46611111113452</v>
      </c>
    </row>
    <row r="31" spans="1:8">
      <c r="A31" s="83"/>
      <c r="B31" s="83"/>
      <c r="C31" s="83"/>
      <c r="D31" s="83"/>
      <c r="E31" s="83"/>
      <c r="F31" s="83"/>
      <c r="G31" s="83"/>
      <c r="H31" s="83"/>
    </row>
    <row r="32" spans="1:8">
      <c r="A32" s="83"/>
      <c r="B32" s="83"/>
      <c r="C32" s="83"/>
      <c r="D32" s="83"/>
      <c r="E32" s="83"/>
      <c r="F32" s="83"/>
      <c r="G32" s="83"/>
      <c r="H32" s="83"/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189"/>
      <c r="B34" s="83"/>
      <c r="C34" s="83"/>
      <c r="D34" s="83"/>
      <c r="E34" s="232"/>
      <c r="F34" s="83"/>
      <c r="G34" s="83"/>
      <c r="H34" s="83"/>
    </row>
    <row r="35" spans="1:8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  <mergeCell ref="A25:B25"/>
  </mergeCells>
  <phoneticPr fontId="2" type="noConversion"/>
  <pageMargins left="0.75" right="0.75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topLeftCell="A8" workbookViewId="0">
      <selection activeCell="C26" sqref="C26"/>
    </sheetView>
  </sheetViews>
  <sheetFormatPr defaultColWidth="8.7109375" defaultRowHeight="12.75"/>
  <cols>
    <col min="1" max="1" width="26.42578125" style="93" customWidth="1"/>
    <col min="2" max="2" width="7.5703125" style="93" customWidth="1"/>
    <col min="3" max="12" width="11.42578125" style="93" customWidth="1"/>
    <col min="13" max="16384" width="8.7109375" style="93"/>
  </cols>
  <sheetData>
    <row r="1" spans="1:10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Portugal OutofTrack</v>
      </c>
    </row>
    <row r="2" spans="1:10" s="272" customFormat="1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10" s="272" customFormat="1">
      <c r="A3" s="270"/>
      <c r="B3" s="270"/>
      <c r="C3" s="270"/>
      <c r="D3" s="270"/>
      <c r="E3" s="270"/>
      <c r="F3" s="270"/>
      <c r="G3" s="270"/>
      <c r="H3" s="271"/>
    </row>
    <row r="4" spans="1:10" ht="15.75">
      <c r="A4" s="460" t="s">
        <v>59</v>
      </c>
      <c r="B4" s="460"/>
      <c r="C4" s="460"/>
      <c r="D4" s="460"/>
      <c r="E4" s="460"/>
      <c r="F4" s="460"/>
      <c r="G4" s="460"/>
      <c r="H4" s="460"/>
    </row>
    <row r="5" spans="1:10">
      <c r="A5" s="83"/>
      <c r="B5" s="83"/>
      <c r="C5" s="173"/>
      <c r="D5" s="83"/>
      <c r="E5" s="83"/>
      <c r="F5" s="83"/>
      <c r="G5" s="83"/>
      <c r="H5" s="83"/>
    </row>
    <row r="6" spans="1:10">
      <c r="A6" s="83"/>
      <c r="B6" s="83"/>
      <c r="C6" s="173"/>
      <c r="D6" s="83"/>
      <c r="E6" s="83"/>
      <c r="F6" s="83"/>
      <c r="G6" s="83"/>
      <c r="H6" s="83"/>
    </row>
    <row r="7" spans="1:10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10">
      <c r="A8" s="511" t="s">
        <v>50</v>
      </c>
      <c r="B8" s="512"/>
      <c r="C8" s="273"/>
      <c r="D8" s="273"/>
      <c r="E8" s="273"/>
      <c r="F8" s="273"/>
      <c r="G8" s="273"/>
      <c r="H8" s="273"/>
    </row>
    <row r="9" spans="1:10">
      <c r="A9" s="174" t="s">
        <v>322</v>
      </c>
      <c r="B9" s="155"/>
      <c r="C9" s="177">
        <f t="shared" ref="C9:H9" si="0">SUM(C10:C13)</f>
        <v>21666.666666666668</v>
      </c>
      <c r="D9" s="177">
        <f t="shared" si="0"/>
        <v>13333.333333333336</v>
      </c>
      <c r="E9" s="177">
        <f t="shared" si="0"/>
        <v>5000.0000000000036</v>
      </c>
      <c r="F9" s="177">
        <f t="shared" si="0"/>
        <v>5000.0000000000036</v>
      </c>
      <c r="G9" s="177">
        <f t="shared" si="0"/>
        <v>5000.0000000000036</v>
      </c>
      <c r="H9" s="177">
        <f t="shared" si="0"/>
        <v>5000.0000000000036</v>
      </c>
    </row>
    <row r="10" spans="1:10">
      <c r="A10" s="84" t="s">
        <v>274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10">
      <c r="A11" s="84" t="s">
        <v>269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10">
      <c r="A12" s="84" t="s">
        <v>323</v>
      </c>
      <c r="B12" s="155"/>
      <c r="C12" s="138">
        <f>+Investimento!C179</f>
        <v>21666.666666666668</v>
      </c>
      <c r="D12" s="138">
        <f>+Investimento!D179</f>
        <v>13333.333333333336</v>
      </c>
      <c r="E12" s="138">
        <f>+Investimento!E179</f>
        <v>5000.0000000000036</v>
      </c>
      <c r="F12" s="138">
        <f>+Investimento!F179</f>
        <v>5000.0000000000036</v>
      </c>
      <c r="G12" s="138">
        <f>+Investimento!G179</f>
        <v>5000.0000000000036</v>
      </c>
      <c r="H12" s="138">
        <f>+Investimento!H179</f>
        <v>5000.0000000000036</v>
      </c>
    </row>
    <row r="13" spans="1:10">
      <c r="A13" s="84" t="s">
        <v>324</v>
      </c>
      <c r="B13" s="155"/>
      <c r="C13" s="138"/>
      <c r="D13" s="138"/>
      <c r="E13" s="138"/>
      <c r="F13" s="138"/>
      <c r="G13" s="138"/>
      <c r="H13" s="138"/>
    </row>
    <row r="14" spans="1:10">
      <c r="A14" s="84"/>
      <c r="B14" s="155"/>
      <c r="C14" s="138"/>
      <c r="D14" s="138"/>
      <c r="E14" s="138"/>
      <c r="F14" s="138"/>
      <c r="G14" s="138"/>
      <c r="H14" s="138"/>
    </row>
    <row r="15" spans="1:10">
      <c r="A15" s="174" t="s">
        <v>325</v>
      </c>
      <c r="B15" s="155"/>
      <c r="C15" s="177">
        <f t="shared" ref="C15:H15" si="1">SUM(C16:C22)</f>
        <v>984.63400000000001</v>
      </c>
      <c r="D15" s="177">
        <f t="shared" si="1"/>
        <v>43292.898570944235</v>
      </c>
      <c r="E15" s="177">
        <f t="shared" si="1"/>
        <v>56142.693027034897</v>
      </c>
      <c r="F15" s="177">
        <f t="shared" si="1"/>
        <v>76249.029218104406</v>
      </c>
      <c r="G15" s="177">
        <f t="shared" si="1"/>
        <v>124020.27681894301</v>
      </c>
      <c r="H15" s="177">
        <f t="shared" si="1"/>
        <v>240031.41555205281</v>
      </c>
      <c r="I15" s="191"/>
      <c r="J15" s="191"/>
    </row>
    <row r="16" spans="1:10">
      <c r="A16" s="84" t="s">
        <v>326</v>
      </c>
      <c r="B16" s="155"/>
      <c r="C16" s="138">
        <f>+FundoManeio!C11</f>
        <v>21.9575</v>
      </c>
      <c r="D16" s="138">
        <f>+FundoManeio!D11</f>
        <v>277.48190972222221</v>
      </c>
      <c r="E16" s="138">
        <f>+FundoManeio!E11</f>
        <v>575.0909930555556</v>
      </c>
      <c r="F16" s="138">
        <f>+FundoManeio!F11</f>
        <v>884.49291555555556</v>
      </c>
      <c r="G16" s="138">
        <f>+FundoManeio!G11</f>
        <v>1160.0885947152778</v>
      </c>
      <c r="H16" s="138">
        <f>+FundoManeio!H11</f>
        <v>1429.1843367937499</v>
      </c>
      <c r="I16" s="191"/>
      <c r="J16" s="191"/>
    </row>
    <row r="17" spans="1:10">
      <c r="A17" s="84" t="s">
        <v>51</v>
      </c>
      <c r="B17" s="155"/>
      <c r="C17" s="138">
        <f>+FundoManeio!C10-VN!C87</f>
        <v>676.28125</v>
      </c>
      <c r="D17" s="138">
        <f>+FundoManeio!D10-SUM(VN!C87:D87)</f>
        <v>7816.145833333333</v>
      </c>
      <c r="E17" s="138">
        <f>+FundoManeio!E10-SUM(VN!C87:E87)</f>
        <v>16414.572916666668</v>
      </c>
      <c r="F17" s="138">
        <f>+FundoManeio!F10-SUM(VN!C87:F87)</f>
        <v>24342.53125</v>
      </c>
      <c r="G17" s="138">
        <f>+FundoManeio!G10-SUM(VN!C87:G87)</f>
        <v>31848.375</v>
      </c>
      <c r="H17" s="138">
        <f>+FundoManeio!H10-SUM(VN!C87:H87)</f>
        <v>39554.625</v>
      </c>
      <c r="I17" s="191"/>
      <c r="J17" s="191"/>
    </row>
    <row r="18" spans="1:10">
      <c r="A18" s="84" t="s">
        <v>212</v>
      </c>
      <c r="B18" s="155"/>
      <c r="C18" s="138">
        <f>+FundoManeio!C12</f>
        <v>286.39525000000003</v>
      </c>
      <c r="D18" s="138">
        <f>+FundoManeio!D12</f>
        <v>1336.8224062500001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>
      <c r="A19" s="84" t="s">
        <v>319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>
      <c r="A20" s="84" t="s">
        <v>327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>
      <c r="A21" s="84" t="s">
        <v>328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>
      <c r="A22" s="84" t="s">
        <v>329</v>
      </c>
      <c r="B22" s="155"/>
      <c r="C22" s="138">
        <f>+IF(PlanoFinanceiro!C29&gt;0,PlanoFinanceiro!C29,0)+FundoManeio!C9</f>
        <v>0</v>
      </c>
      <c r="D22" s="138">
        <f>+IF(PlanoFinanceiro!D29&gt;0,PlanoFinanceiro!D29,0)+FundoManeio!D9</f>
        <v>33862.448421638677</v>
      </c>
      <c r="E22" s="138">
        <f>+IF(PlanoFinanceiro!E29&gt;0,PlanoFinanceiro!E29,0)+FundoManeio!E9</f>
        <v>39153.029117312668</v>
      </c>
      <c r="F22" s="138">
        <f>+IF(PlanoFinanceiro!F29&gt;0,PlanoFinanceiro!F29,0)+FundoManeio!F9</f>
        <v>51022.005052548848</v>
      </c>
      <c r="G22" s="138">
        <f>+IF(PlanoFinanceiro!G29&gt;0,PlanoFinanceiro!G29,0)+FundoManeio!G9</f>
        <v>91011.813224227721</v>
      </c>
      <c r="H22" s="138">
        <f>+IF(PlanoFinanceiro!H29&gt;0,PlanoFinanceiro!H29,0)+FundoManeio!H9</f>
        <v>199047.60621525906</v>
      </c>
      <c r="I22" s="191"/>
      <c r="J22" s="191"/>
    </row>
    <row r="23" spans="1:10" ht="13.5" thickBot="1">
      <c r="A23" s="475" t="s">
        <v>53</v>
      </c>
      <c r="B23" s="476"/>
      <c r="C23" s="274">
        <f t="shared" ref="C23:H23" si="2">+C15+C9</f>
        <v>22651.30066666667</v>
      </c>
      <c r="D23" s="274">
        <f t="shared" si="2"/>
        <v>56626.231904277571</v>
      </c>
      <c r="E23" s="274">
        <f t="shared" si="2"/>
        <v>61142.693027034897</v>
      </c>
      <c r="F23" s="274">
        <f t="shared" si="2"/>
        <v>81249.029218104406</v>
      </c>
      <c r="G23" s="274">
        <f t="shared" si="2"/>
        <v>129020.27681894301</v>
      </c>
      <c r="H23" s="274">
        <f t="shared" si="2"/>
        <v>245031.41555205281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>
      <c r="A25" s="488" t="s">
        <v>213</v>
      </c>
      <c r="B25" s="513"/>
      <c r="C25" s="273"/>
      <c r="D25" s="273"/>
      <c r="E25" s="273"/>
      <c r="F25" s="273"/>
      <c r="G25" s="273"/>
      <c r="H25" s="273"/>
      <c r="I25" s="191"/>
      <c r="J25" s="191"/>
    </row>
    <row r="26" spans="1:10">
      <c r="A26" s="162" t="s">
        <v>307</v>
      </c>
      <c r="B26" s="155"/>
      <c r="C26" s="138">
        <f>+Financiamento!C15</f>
        <v>5000</v>
      </c>
      <c r="D26" s="138">
        <f>+C26+Financiamento!D15</f>
        <v>5000</v>
      </c>
      <c r="E26" s="138">
        <f>+D26+Financiamento!E15</f>
        <v>5000</v>
      </c>
      <c r="F26" s="138">
        <f>+E26+Financiamento!F15</f>
        <v>5000</v>
      </c>
      <c r="G26" s="138">
        <f>+F26+Financiamento!G15</f>
        <v>5000</v>
      </c>
      <c r="H26" s="138">
        <f>+G26+Financiamento!H15</f>
        <v>5000</v>
      </c>
      <c r="I26" s="191"/>
      <c r="J26" s="191"/>
    </row>
    <row r="27" spans="1:10">
      <c r="A27" s="162" t="s">
        <v>308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>
      <c r="A28" s="162" t="s">
        <v>309</v>
      </c>
      <c r="B28" s="155"/>
      <c r="C28" s="138">
        <f>+Financiamento!C16</f>
        <v>30000</v>
      </c>
      <c r="D28" s="138">
        <f>+C28+Financiamento!D16</f>
        <v>30000</v>
      </c>
      <c r="E28" s="138">
        <f>+D28+Financiamento!E16</f>
        <v>30000</v>
      </c>
      <c r="F28" s="138">
        <f>+E28+Financiamento!F16</f>
        <v>30000</v>
      </c>
      <c r="G28" s="138">
        <f>+F28+Financiamento!G16</f>
        <v>30000</v>
      </c>
      <c r="H28" s="138">
        <f>+G28+Financiamento!H16</f>
        <v>30000</v>
      </c>
      <c r="I28" s="191"/>
      <c r="J28" s="191"/>
    </row>
    <row r="29" spans="1:10">
      <c r="A29" s="162" t="s">
        <v>380</v>
      </c>
      <c r="B29" s="155"/>
      <c r="C29" s="138"/>
      <c r="D29" s="138">
        <f>+C32</f>
        <v>-13974.020623215558</v>
      </c>
      <c r="E29" s="138">
        <f>+D29+D32</f>
        <v>12808.99878592206</v>
      </c>
      <c r="F29" s="138">
        <f>+E29+E32</f>
        <v>12660.703386409903</v>
      </c>
      <c r="G29" s="138">
        <f>+F29+F32</f>
        <v>22960.76868633461</v>
      </c>
      <c r="H29" s="138">
        <f>+G29+G32</f>
        <v>58179.103037664376</v>
      </c>
      <c r="I29" s="191"/>
      <c r="J29" s="191"/>
    </row>
    <row r="30" spans="1:10">
      <c r="A30" s="162" t="s">
        <v>310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>
      <c r="A31" s="162" t="s">
        <v>311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>
      <c r="A32" s="162" t="s">
        <v>312</v>
      </c>
      <c r="B32" s="155"/>
      <c r="C32" s="138">
        <f>+DR!B31</f>
        <v>-13974.020623215558</v>
      </c>
      <c r="D32" s="138">
        <f>+DR!C31</f>
        <v>26783.019409137618</v>
      </c>
      <c r="E32" s="138">
        <f>+DR!D31</f>
        <v>-148.29539951215787</v>
      </c>
      <c r="F32" s="138">
        <f>+DR!E31</f>
        <v>10300.065299924705</v>
      </c>
      <c r="G32" s="138">
        <f>+DR!F31</f>
        <v>35218.334351329766</v>
      </c>
      <c r="H32" s="138">
        <f>+DR!G31</f>
        <v>96163.630409737743</v>
      </c>
      <c r="I32" s="191"/>
      <c r="J32" s="191"/>
    </row>
    <row r="33" spans="1:10" ht="13.5" thickBot="1">
      <c r="A33" s="475" t="s">
        <v>313</v>
      </c>
      <c r="B33" s="477"/>
      <c r="C33" s="349">
        <f t="shared" ref="C33:H33" si="3">SUM(C26:C32)</f>
        <v>21025.979376784442</v>
      </c>
      <c r="D33" s="349">
        <f t="shared" si="3"/>
        <v>47808.998785922056</v>
      </c>
      <c r="E33" s="349">
        <f t="shared" si="3"/>
        <v>47660.703386409899</v>
      </c>
      <c r="F33" s="349">
        <f t="shared" si="3"/>
        <v>57960.76868633461</v>
      </c>
      <c r="G33" s="349">
        <f t="shared" si="3"/>
        <v>93179.103037664376</v>
      </c>
      <c r="H33" s="349">
        <f t="shared" si="3"/>
        <v>189342.73344740213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>
      <c r="A35" s="514" t="s">
        <v>54</v>
      </c>
      <c r="B35" s="515"/>
      <c r="C35" s="347"/>
      <c r="D35" s="347"/>
      <c r="E35" s="347"/>
      <c r="F35" s="347"/>
      <c r="G35" s="347"/>
      <c r="H35" s="347"/>
      <c r="I35" s="191"/>
      <c r="J35" s="191"/>
    </row>
    <row r="36" spans="1:10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>
      <c r="A37" s="174" t="s">
        <v>314</v>
      </c>
      <c r="B37" s="155"/>
      <c r="C37" s="177">
        <f t="shared" ref="C37:H37" si="4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>
      <c r="A38" s="84" t="s">
        <v>315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>
      <c r="A39" s="84" t="s">
        <v>316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>
      <c r="A40" s="84" t="s">
        <v>317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>
      <c r="A42" s="174" t="s">
        <v>318</v>
      </c>
      <c r="B42" s="155"/>
      <c r="C42" s="402">
        <f t="shared" ref="C42:H42" si="5">SUM(C43:C47)</f>
        <v>1622.899623215561</v>
      </c>
      <c r="D42" s="402">
        <f t="shared" si="5"/>
        <v>9408.1154100221811</v>
      </c>
      <c r="E42" s="402">
        <f t="shared" si="5"/>
        <v>13943.685265624999</v>
      </c>
      <c r="F42" s="402">
        <f t="shared" si="5"/>
        <v>23698.780115103138</v>
      </c>
      <c r="G42" s="402">
        <f t="shared" si="5"/>
        <v>36200.03989238973</v>
      </c>
      <c r="H42" s="402">
        <f t="shared" si="5"/>
        <v>55993.14821576183</v>
      </c>
      <c r="I42" s="191"/>
      <c r="J42" s="191"/>
    </row>
    <row r="43" spans="1:10">
      <c r="A43" s="84" t="s">
        <v>18</v>
      </c>
      <c r="B43" s="155"/>
      <c r="C43" s="276">
        <f>+FundoManeio!C17</f>
        <v>777.33462499999996</v>
      </c>
      <c r="D43" s="276">
        <f>+FundoManeio!D17</f>
        <v>6205.8657135416661</v>
      </c>
      <c r="E43" s="276">
        <f>+FundoManeio!E17</f>
        <v>11612.921655208333</v>
      </c>
      <c r="F43" s="276">
        <f>+FundoManeio!F17</f>
        <v>17091.518035333334</v>
      </c>
      <c r="G43" s="276">
        <f>+FundoManeio!G17</f>
        <v>21722.024007296877</v>
      </c>
      <c r="H43" s="276">
        <f>+FundoManeio!H17</f>
        <v>26021.473923355356</v>
      </c>
      <c r="I43" s="191"/>
      <c r="J43" s="191"/>
    </row>
    <row r="44" spans="1:10">
      <c r="A44" s="84" t="s">
        <v>212</v>
      </c>
      <c r="B44" s="155"/>
      <c r="C44" s="276">
        <f>+FundoManeio!C18+DR!B30</f>
        <v>0</v>
      </c>
      <c r="D44" s="276">
        <f>+FundoManeio!D18+DR!C30</f>
        <v>3202.249696480515</v>
      </c>
      <c r="E44" s="276">
        <f>+FundoManeio!E18+DR!D30</f>
        <v>2330.7636104166663</v>
      </c>
      <c r="F44" s="276">
        <f>+FundoManeio!F18+DR!E30</f>
        <v>6607.2620797698037</v>
      </c>
      <c r="G44" s="276">
        <f>+FundoManeio!G18+DR!F30</f>
        <v>14478.015885092856</v>
      </c>
      <c r="H44" s="276">
        <f>+FundoManeio!H18+DR!G30</f>
        <v>29971.674292406478</v>
      </c>
      <c r="I44" s="191"/>
      <c r="J44" s="191"/>
    </row>
    <row r="45" spans="1:10">
      <c r="A45" s="84" t="s">
        <v>319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>
      <c r="A46" s="84" t="s">
        <v>320</v>
      </c>
      <c r="B46" s="155"/>
      <c r="C46" s="276">
        <f>+IF(PlanoFinanceiro!C29&lt;0,-PlanoFinanceiro!C29,0)</f>
        <v>845.56499821556088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0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>
      <c r="A47" s="84" t="s">
        <v>321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75" t="s">
        <v>55</v>
      </c>
      <c r="B49" s="477"/>
      <c r="C49" s="349">
        <f t="shared" ref="C49:H49" si="6">+C42+C37</f>
        <v>1622.899623215561</v>
      </c>
      <c r="D49" s="349">
        <f t="shared" si="6"/>
        <v>9408.1154100221811</v>
      </c>
      <c r="E49" s="349">
        <f t="shared" si="6"/>
        <v>13943.685265624999</v>
      </c>
      <c r="F49" s="349">
        <f t="shared" si="6"/>
        <v>23698.780115103138</v>
      </c>
      <c r="G49" s="349">
        <f t="shared" si="6"/>
        <v>36200.03989238973</v>
      </c>
      <c r="H49" s="349">
        <f t="shared" si="6"/>
        <v>55993.14821576183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76" t="s">
        <v>214</v>
      </c>
      <c r="B51" s="476"/>
      <c r="C51" s="56">
        <f t="shared" ref="C51:H51" si="7">+C49+C33</f>
        <v>22648.879000000004</v>
      </c>
      <c r="D51" s="56">
        <f t="shared" si="7"/>
        <v>57217.114195944239</v>
      </c>
      <c r="E51" s="56">
        <f t="shared" si="7"/>
        <v>61604.388652034897</v>
      </c>
      <c r="F51" s="56">
        <f t="shared" si="7"/>
        <v>81659.548801437748</v>
      </c>
      <c r="G51" s="56">
        <f t="shared" si="7"/>
        <v>129379.14293005411</v>
      </c>
      <c r="H51" s="56">
        <f t="shared" si="7"/>
        <v>245335.88166316395</v>
      </c>
      <c r="I51" s="191"/>
      <c r="J51" s="191"/>
    </row>
    <row r="52" spans="1:10" ht="13.5" thickTop="1">
      <c r="C52" s="277"/>
      <c r="D52" s="277"/>
      <c r="E52" s="277"/>
      <c r="F52" s="277"/>
      <c r="G52" s="277"/>
      <c r="H52" s="277"/>
    </row>
    <row r="53" spans="1:10">
      <c r="C53" s="312">
        <f t="shared" ref="C53:H53" si="8">+C23-C51</f>
        <v>2.42166666666526</v>
      </c>
      <c r="D53" s="312">
        <f t="shared" si="8"/>
        <v>-590.88229166666861</v>
      </c>
      <c r="E53" s="312">
        <f t="shared" si="8"/>
        <v>-461.69562500000029</v>
      </c>
      <c r="F53" s="312">
        <f t="shared" si="8"/>
        <v>-410.51958333334187</v>
      </c>
      <c r="G53" s="312">
        <f t="shared" si="8"/>
        <v>-358.8661111110996</v>
      </c>
      <c r="H53" s="312">
        <f t="shared" si="8"/>
        <v>-304.46611111113452</v>
      </c>
    </row>
    <row r="54" spans="1:10">
      <c r="C54" s="277"/>
      <c r="D54" s="279">
        <f>+D53-C53</f>
        <v>-593.30395833333387</v>
      </c>
      <c r="E54" s="279">
        <f>+E53-D53</f>
        <v>129.18666666666832</v>
      </c>
      <c r="F54" s="279">
        <f>+F53-E53</f>
        <v>51.176041666658421</v>
      </c>
      <c r="G54" s="279">
        <f>+G53-F53</f>
        <v>51.653472222242272</v>
      </c>
      <c r="H54" s="279">
        <f>+H53-G53</f>
        <v>54.399999999965075</v>
      </c>
    </row>
    <row r="55" spans="1:10">
      <c r="C55" s="277"/>
      <c r="D55" s="277"/>
      <c r="E55" s="277"/>
      <c r="F55" s="277"/>
      <c r="G55" s="277"/>
      <c r="H55" s="277"/>
    </row>
    <row r="56" spans="1:10">
      <c r="C56" s="277"/>
      <c r="D56" s="278"/>
      <c r="E56" s="280"/>
      <c r="F56" s="280"/>
      <c r="G56" s="277"/>
      <c r="H56" s="277"/>
    </row>
    <row r="57" spans="1:10">
      <c r="C57" s="272"/>
      <c r="D57" s="272"/>
      <c r="E57" s="272"/>
      <c r="F57" s="272"/>
      <c r="G57" s="272"/>
      <c r="H57" s="272"/>
    </row>
    <row r="58" spans="1:10">
      <c r="C58" s="272"/>
      <c r="D58" s="272"/>
      <c r="E58" s="272"/>
      <c r="F58" s="272"/>
      <c r="G58" s="272"/>
      <c r="H58" s="272"/>
    </row>
    <row r="59" spans="1:10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>
    <oddFooter>&amp;C&amp;"Arial,Normal"&amp;8IAPMEI&amp;R&amp;"Arial,Normal"&amp;8&amp;P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topLeftCell="A3" workbookViewId="0">
      <selection activeCell="C14" sqref="C14"/>
    </sheetView>
  </sheetViews>
  <sheetFormatPr defaultColWidth="8.7109375" defaultRowHeight="12.75"/>
  <cols>
    <col min="1" max="1" width="42.85546875" style="93" bestFit="1" customWidth="1"/>
    <col min="2" max="11" width="11.42578125" style="93" customWidth="1"/>
    <col min="12" max="16384" width="8.7109375" style="93"/>
  </cols>
  <sheetData>
    <row r="1" spans="1:7" ht="13.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Portugal OutofTrack</v>
      </c>
    </row>
    <row r="2" spans="1:7">
      <c r="A2" s="83"/>
      <c r="B2" s="83"/>
      <c r="C2" s="83"/>
      <c r="D2" s="83"/>
      <c r="E2" s="83"/>
      <c r="F2" s="83"/>
      <c r="G2" s="83"/>
    </row>
    <row r="3" spans="1:7">
      <c r="A3" s="83"/>
      <c r="B3" s="83"/>
      <c r="C3" s="83"/>
      <c r="D3" s="83"/>
      <c r="E3" s="83"/>
      <c r="F3" s="83"/>
      <c r="G3" s="83"/>
    </row>
    <row r="4" spans="1:7" ht="15.75">
      <c r="A4" s="460" t="s">
        <v>61</v>
      </c>
      <c r="B4" s="460"/>
      <c r="C4" s="460"/>
      <c r="D4" s="460"/>
      <c r="E4" s="460"/>
      <c r="F4" s="460"/>
      <c r="G4" s="460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4" t="s">
        <v>120</v>
      </c>
      <c r="B6" s="405">
        <f>+VN!C8</f>
        <v>2012</v>
      </c>
      <c r="C6" s="405">
        <f>+VN!D8</f>
        <v>2013</v>
      </c>
      <c r="D6" s="405">
        <f>+VN!E8</f>
        <v>2014</v>
      </c>
      <c r="E6" s="405">
        <f>+VN!F8</f>
        <v>2015</v>
      </c>
      <c r="F6" s="405">
        <f>+VN!G8</f>
        <v>2016</v>
      </c>
      <c r="G6" s="406">
        <f>+VN!H8</f>
        <v>2017</v>
      </c>
    </row>
    <row r="7" spans="1:7">
      <c r="A7" s="419" t="s">
        <v>118</v>
      </c>
      <c r="B7" s="221"/>
      <c r="C7" s="221">
        <f>+(DR!C8/DR!B8)-1</f>
        <v>10.985903814262024</v>
      </c>
      <c r="D7" s="221">
        <f>+(DR!D8/DR!C8)-1</f>
        <v>1.0843998616395711</v>
      </c>
      <c r="E7" s="221">
        <f>+(DR!E8/DR!D8)-1</f>
        <v>0.47301692665117834</v>
      </c>
      <c r="F7" s="221">
        <f>+(DR!F8/DR!E8)-1</f>
        <v>0.30287053309900402</v>
      </c>
      <c r="G7" s="408">
        <f>+(DR!G8/DR!F8)-1</f>
        <v>0.2495157719977863</v>
      </c>
    </row>
    <row r="8" spans="1:7" ht="13.5" thickBot="1">
      <c r="A8" s="419" t="s">
        <v>408</v>
      </c>
      <c r="B8" s="409">
        <f>DR!B31/DR!B8</f>
        <v>-0.92696654217018626</v>
      </c>
      <c r="C8" s="409">
        <f>DR!C31/DR!C8</f>
        <v>0.14822840212597782</v>
      </c>
      <c r="D8" s="409">
        <f>DR!D31/DR!D8</f>
        <v>-3.9374815668677827E-4</v>
      </c>
      <c r="E8" s="409">
        <f>DR!E31/DR!E8</f>
        <v>1.8566203055156966E-2</v>
      </c>
      <c r="F8" s="409">
        <f>DR!F31/DR!F8</f>
        <v>4.8724867669244283E-2</v>
      </c>
      <c r="G8" s="410">
        <f>DR!G31/DR!G8</f>
        <v>0.10647581288793417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4" t="s">
        <v>119</v>
      </c>
      <c r="B10" s="405">
        <f t="shared" ref="B10:G10" si="0">+B6</f>
        <v>2012</v>
      </c>
      <c r="C10" s="405">
        <f t="shared" si="0"/>
        <v>2013</v>
      </c>
      <c r="D10" s="405">
        <f t="shared" si="0"/>
        <v>2014</v>
      </c>
      <c r="E10" s="405">
        <f t="shared" si="0"/>
        <v>2015</v>
      </c>
      <c r="F10" s="405">
        <f t="shared" si="0"/>
        <v>2016</v>
      </c>
      <c r="G10" s="406">
        <f t="shared" si="0"/>
        <v>2017</v>
      </c>
    </row>
    <row r="11" spans="1:7">
      <c r="A11" s="419" t="s">
        <v>123</v>
      </c>
      <c r="B11" s="221">
        <f>DR!B31/Balanço!C23</f>
        <v>-0.61691912658152681</v>
      </c>
      <c r="C11" s="221">
        <f>DR!C31/Balanço!D23</f>
        <v>0.47297901535126546</v>
      </c>
      <c r="D11" s="221">
        <f>DR!D31/Balanço!E23</f>
        <v>-2.4253985581987282E-3</v>
      </c>
      <c r="E11" s="221">
        <f>DR!E31/Balanço!F23</f>
        <v>0.12677154913783981</v>
      </c>
      <c r="F11" s="221">
        <f>DR!F31/Balanço!G23</f>
        <v>0.27296743751954922</v>
      </c>
      <c r="G11" s="408">
        <f>DR!G31/Balanço!H23</f>
        <v>0.39245429078178506</v>
      </c>
    </row>
    <row r="12" spans="1:7">
      <c r="A12" s="419" t="s">
        <v>124</v>
      </c>
      <c r="B12" s="221">
        <f>+DR!B26/Balanço!C23</f>
        <v>-0.61445537005365769</v>
      </c>
      <c r="C12" s="221">
        <f>+DR!C26/Balanço!D23</f>
        <v>0.52534366081348716</v>
      </c>
      <c r="D12" s="221">
        <f>+DR!D26/Balanço!E23</f>
        <v>-6.9078835494961379E-3</v>
      </c>
      <c r="E12" s="221">
        <f>+DR!E26/Balanço!F23</f>
        <v>0.15361234293835649</v>
      </c>
      <c r="F12" s="221">
        <f>+DR!F26/Balanço!G23</f>
        <v>0.33627144752973143</v>
      </c>
      <c r="G12" s="408">
        <f>+DR!G26/Balanço!H23</f>
        <v>0.48488151815547881</v>
      </c>
    </row>
    <row r="13" spans="1:7">
      <c r="A13" s="419" t="s">
        <v>125</v>
      </c>
      <c r="B13" s="221">
        <f>DR!B8/Balanço!C23</f>
        <v>0.66552469643317902</v>
      </c>
      <c r="C13" s="221">
        <f>DR!C8/Balanço!D23</f>
        <v>3.1908798082386758</v>
      </c>
      <c r="D13" s="221">
        <f>DR!D8/Balanço!E23</f>
        <v>6.1597712065687267</v>
      </c>
      <c r="E13" s="221">
        <f>DR!E8/Balanço!F23</f>
        <v>6.828081582498239</v>
      </c>
      <c r="F13" s="221">
        <f>DR!F8/Balanço!G23</f>
        <v>5.6022201922130517</v>
      </c>
      <c r="G13" s="408">
        <f>DR!G8/Balanço!H23</f>
        <v>3.6858539055704918</v>
      </c>
    </row>
    <row r="14" spans="1:7" ht="13.5" thickBot="1">
      <c r="A14" s="419" t="s">
        <v>126</v>
      </c>
      <c r="B14" s="409">
        <f>+DR!B31/Balanço!C33</f>
        <v>-0.66460735896301637</v>
      </c>
      <c r="C14" s="409">
        <f>+DR!C31/Balanço!D33</f>
        <v>0.5602087491743124</v>
      </c>
      <c r="D14" s="409">
        <f>+DR!D31/Balanço!E33</f>
        <v>-3.11148155556687E-3</v>
      </c>
      <c r="E14" s="409">
        <f>+DR!E31/Balanço!F33</f>
        <v>0.17770753448190807</v>
      </c>
      <c r="F14" s="409">
        <f>+DR!F31/Balanço!G33</f>
        <v>0.37796386961456363</v>
      </c>
      <c r="G14" s="410">
        <f>+DR!G31/Balanço!H33</f>
        <v>0.50788128310427727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4" t="s">
        <v>121</v>
      </c>
      <c r="B16" s="414">
        <f t="shared" ref="B16:G16" si="1">+B6</f>
        <v>2012</v>
      </c>
      <c r="C16" s="414">
        <f t="shared" si="1"/>
        <v>2013</v>
      </c>
      <c r="D16" s="414">
        <f t="shared" si="1"/>
        <v>2014</v>
      </c>
      <c r="E16" s="414">
        <f t="shared" si="1"/>
        <v>2015</v>
      </c>
      <c r="F16" s="414">
        <f t="shared" si="1"/>
        <v>2016</v>
      </c>
      <c r="G16" s="415">
        <f t="shared" si="1"/>
        <v>2017</v>
      </c>
    </row>
    <row r="17" spans="1:7">
      <c r="A17" s="419" t="s">
        <v>19</v>
      </c>
      <c r="B17" s="221">
        <f>Balanço!C33/Balanço!C23</f>
        <v>0.92824600609915409</v>
      </c>
      <c r="C17" s="221">
        <f>Balanço!D33/Balanço!D23</f>
        <v>0.84429066138004039</v>
      </c>
      <c r="D17" s="221">
        <f>Balanço!E33/Balanço!E23</f>
        <v>0.77949957757562638</v>
      </c>
      <c r="E17" s="221">
        <f>Balanço!F33/Balanço!F23</f>
        <v>0.71337183033590557</v>
      </c>
      <c r="F17" s="221">
        <f>Balanço!G33/Balanço!G23</f>
        <v>0.72220510864679555</v>
      </c>
      <c r="G17" s="416">
        <f>Balanço!H33/Balanço!H23</f>
        <v>0.77272839901289903</v>
      </c>
    </row>
    <row r="18" spans="1:7">
      <c r="A18" s="419" t="s">
        <v>16</v>
      </c>
      <c r="B18" s="221">
        <f>Balanço!C23/Balanço!C49</f>
        <v>13.957302314104993</v>
      </c>
      <c r="C18" s="221">
        <f>Balanço!D23/Balanço!D49</f>
        <v>6.0188708828928013</v>
      </c>
      <c r="D18" s="221">
        <f>Balanço!E23/Balanço!E49</f>
        <v>4.3849736896864968</v>
      </c>
      <c r="E18" s="221">
        <f>Balanço!F23/Balanço!F49</f>
        <v>3.4284055476055801</v>
      </c>
      <c r="F18" s="221">
        <f>Balanço!G23/Balanço!G49</f>
        <v>3.5640921170936806</v>
      </c>
      <c r="G18" s="416">
        <f>Balanço!H23/Balanço!H49</f>
        <v>4.3760964217953644</v>
      </c>
    </row>
    <row r="19" spans="1:7" ht="13.5" thickBot="1">
      <c r="A19" s="419" t="s">
        <v>409</v>
      </c>
      <c r="B19" s="417">
        <f>+DR!B26/DR!B28</f>
        <v>-249.3977643907391</v>
      </c>
      <c r="C19" s="417" t="e">
        <f>+DR!C26/DR!C28</f>
        <v>#DIV/0!</v>
      </c>
      <c r="D19" s="417" t="e">
        <f>+DR!D26/DR!D28</f>
        <v>#DIV/0!</v>
      </c>
      <c r="E19" s="417" t="e">
        <f>+DR!E26/DR!E28</f>
        <v>#DIV/0!</v>
      </c>
      <c r="F19" s="417" t="e">
        <f>+DR!F26/DR!F28</f>
        <v>#DIV/0!</v>
      </c>
      <c r="G19" s="418" t="e">
        <f>+DR!G26/DR!G28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4" t="s">
        <v>122</v>
      </c>
      <c r="B21" s="405">
        <f t="shared" ref="B21:G21" si="2">+B6</f>
        <v>2012</v>
      </c>
      <c r="C21" s="405">
        <f t="shared" si="2"/>
        <v>2013</v>
      </c>
      <c r="D21" s="405">
        <f t="shared" si="2"/>
        <v>2014</v>
      </c>
      <c r="E21" s="405">
        <f t="shared" si="2"/>
        <v>2015</v>
      </c>
      <c r="F21" s="405">
        <f t="shared" si="2"/>
        <v>2016</v>
      </c>
      <c r="G21" s="406">
        <f t="shared" si="2"/>
        <v>2017</v>
      </c>
    </row>
    <row r="22" spans="1:7">
      <c r="A22" s="419" t="s">
        <v>407</v>
      </c>
      <c r="B22" s="403">
        <f>Balanço!C15/Balanço!C42</f>
        <v>0.60671281570025748</v>
      </c>
      <c r="C22" s="403">
        <f>Balanço!D15/Balanço!D42</f>
        <v>4.6016547081071746</v>
      </c>
      <c r="D22" s="403">
        <f>Balanço!E15/Balanço!E42</f>
        <v>4.0263884301406314</v>
      </c>
      <c r="E22" s="403">
        <f>Balanço!F15/Balanço!F42</f>
        <v>3.2174242238532438</v>
      </c>
      <c r="F22" s="403">
        <f>Balanço!G15/Balanço!G42</f>
        <v>3.4259707223420923</v>
      </c>
      <c r="G22" s="411">
        <f>Balanço!H15/Balanço!H42</f>
        <v>4.2867997817719594</v>
      </c>
    </row>
    <row r="23" spans="1:7" ht="13.5" thickBot="1">
      <c r="A23" s="419" t="s">
        <v>17</v>
      </c>
      <c r="B23" s="412">
        <f>(Balanço!C17+Balanço!C18+Balanço!C19+Balanço!C20+Balanço!C21+Balanço!C22)/Balanço!C42</f>
        <v>0.59318302021204727</v>
      </c>
      <c r="C23" s="412">
        <f>(Balanço!D17+Balanço!D18+Balanço!D19+Balanço!D20+Balanço!D21+Balanço!D22)/Balanço!D42</f>
        <v>4.5721608193070198</v>
      </c>
      <c r="D23" s="412">
        <f>(Balanço!E17+Balanço!E18+Balanço!E19+Balanço!E20+Balanço!E21+Balanço!E22)/Balanço!E42</f>
        <v>3.9851445995391677</v>
      </c>
      <c r="E23" s="412">
        <f>(Balanço!F17+Balanço!F18+Balanço!F19+Balanço!F20+Balanço!F21+Balanço!F22)/Balanço!F42</f>
        <v>3.1801019266185491</v>
      </c>
      <c r="F23" s="412">
        <f>(Balanço!G17+Balanço!G18+Balanço!G19+Balanço!G20+Balanço!G21+Balanço!G22)/Balanço!G42</f>
        <v>3.3939241113945955</v>
      </c>
      <c r="G23" s="413">
        <f>(Balanço!H17+Balanço!H18+Balanço!H19+Balanço!H20+Balanço!H21+Balanço!H22)/Balanço!H42</f>
        <v>4.2612755099220081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4" t="s">
        <v>127</v>
      </c>
      <c r="B25" s="405">
        <f t="shared" ref="B25:G25" si="3">+B6</f>
        <v>2012</v>
      </c>
      <c r="C25" s="405">
        <f t="shared" si="3"/>
        <v>2013</v>
      </c>
      <c r="D25" s="405">
        <f t="shared" si="3"/>
        <v>2014</v>
      </c>
      <c r="E25" s="405">
        <f t="shared" si="3"/>
        <v>2015</v>
      </c>
      <c r="F25" s="405">
        <f t="shared" si="3"/>
        <v>2016</v>
      </c>
      <c r="G25" s="406">
        <f t="shared" si="3"/>
        <v>2017</v>
      </c>
    </row>
    <row r="26" spans="1:7">
      <c r="A26" s="419" t="s">
        <v>68</v>
      </c>
      <c r="B26" s="263">
        <f>DR!B8-DR!B11-DR!B13-DR!B14</f>
        <v>-1279.6999999999998</v>
      </c>
      <c r="C26" s="263">
        <f>DR!C8-DR!C11-DR!C13-DR!C14</f>
        <v>43994.012499999997</v>
      </c>
      <c r="D26" s="263">
        <f>DR!D8-DR!D11-DR!D13-DR!D14</f>
        <v>119438.24249999999</v>
      </c>
      <c r="E26" s="263">
        <f>DR!E8-DR!E11-DR!E13-DR!E14</f>
        <v>178038.93039999998</v>
      </c>
      <c r="F26" s="263">
        <f>DR!F8-DR!F11-DR!F13-DR!F14</f>
        <v>244933.92730249997</v>
      </c>
      <c r="G26" s="407">
        <f>DR!G8-DR!G11-DR!G13-DR!G14</f>
        <v>326405.63479625003</v>
      </c>
    </row>
    <row r="27" spans="1:7">
      <c r="A27" s="419" t="s">
        <v>215</v>
      </c>
      <c r="B27" s="221">
        <f>+B26/DR!B26</f>
        <v>9.1944272540728414E-2</v>
      </c>
      <c r="C27" s="221">
        <f>+C26/DR!C26</f>
        <v>1.4788782254117134</v>
      </c>
      <c r="D27" s="221">
        <f>+D26/DR!D26</f>
        <v>-282.78334877186097</v>
      </c>
      <c r="E27" s="221">
        <f>+E26/DR!E26</f>
        <v>14.26496408929555</v>
      </c>
      <c r="F27" s="221">
        <f>+F26/DR!F26</f>
        <v>5.6454814321394515</v>
      </c>
      <c r="G27" s="408">
        <f>+G26/DR!G26</f>
        <v>2.7472630669118043</v>
      </c>
    </row>
    <row r="28" spans="1:7" ht="13.5" thickBot="1">
      <c r="A28" s="419" t="s">
        <v>410</v>
      </c>
      <c r="B28" s="409">
        <f>+DR!B26/DR!B29</f>
        <v>0.99600635412048044</v>
      </c>
      <c r="C28" s="409">
        <f>+DR!C26/DR!C29</f>
        <v>0.99209488038554716</v>
      </c>
      <c r="D28" s="409">
        <f>+DR!D26/DR!D29</f>
        <v>2.8481436694785613</v>
      </c>
      <c r="E28" s="409">
        <f>+DR!E26/DR!E29</f>
        <v>0.97217994866286284</v>
      </c>
      <c r="F28" s="409">
        <f>+DR!F26/DR!F29</f>
        <v>0.98552838561382927</v>
      </c>
      <c r="G28" s="410">
        <f>+DR!G26/DR!G29</f>
        <v>0.98840864690677721</v>
      </c>
    </row>
  </sheetData>
  <sheetProtection password="8318" sheet="1" objects="1" scenarios="1"/>
  <mergeCells count="1">
    <mergeCell ref="A4:G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>
    <oddFooter>&amp;C&amp;"Arial,Normal"&amp;8IAPMEI&amp;R&amp;"Arial,Normal"&amp;8&amp;P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zoomScaleNormal="100" workbookViewId="0">
      <selection activeCell="I9" sqref="I9"/>
    </sheetView>
  </sheetViews>
  <sheetFormatPr defaultColWidth="8.7109375" defaultRowHeight="12.75"/>
  <cols>
    <col min="1" max="1" width="31.42578125" style="93" customWidth="1"/>
    <col min="2" max="9" width="11.42578125" style="93" customWidth="1"/>
    <col min="10" max="10" width="8.7109375" style="93" customWidth="1"/>
    <col min="11" max="11" width="11.85546875" style="93" customWidth="1"/>
    <col min="12" max="13" width="8.7109375" style="93" customWidth="1"/>
    <col min="14" max="14" width="14.85546875" style="93" customWidth="1"/>
    <col min="15" max="15" width="13.140625" style="93" customWidth="1"/>
    <col min="16" max="16384" width="8.7109375" style="93"/>
  </cols>
  <sheetData>
    <row r="1" spans="1:14" ht="13.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Portugal OutofTrack</v>
      </c>
      <c r="J1" s="281"/>
    </row>
    <row r="2" spans="1:14">
      <c r="A2" s="83"/>
      <c r="B2" s="83"/>
      <c r="C2" s="83"/>
      <c r="D2" s="83"/>
      <c r="E2" s="83"/>
      <c r="F2" s="83"/>
      <c r="G2" s="83"/>
      <c r="H2" s="83"/>
      <c r="I2" s="83"/>
    </row>
    <row r="3" spans="1:14">
      <c r="A3" s="83"/>
      <c r="B3" s="83"/>
      <c r="C3" s="83"/>
      <c r="D3" s="83"/>
      <c r="E3" s="83"/>
      <c r="F3" s="83"/>
      <c r="G3" s="83"/>
      <c r="H3" s="83"/>
      <c r="I3" s="83"/>
    </row>
    <row r="4" spans="1:14">
      <c r="A4" s="518" t="s">
        <v>171</v>
      </c>
      <c r="B4" s="518"/>
      <c r="C4" s="518"/>
      <c r="D4" s="518"/>
      <c r="E4" s="518"/>
      <c r="F4" s="518"/>
      <c r="G4" s="518"/>
      <c r="H4" s="518"/>
      <c r="I4" s="518"/>
    </row>
    <row r="5" spans="1:14">
      <c r="A5" s="83"/>
      <c r="B5" s="83"/>
      <c r="C5" s="83"/>
      <c r="D5" s="83"/>
      <c r="E5" s="83"/>
      <c r="F5" s="83"/>
      <c r="G5" s="83"/>
      <c r="H5" s="83"/>
      <c r="I5" s="83"/>
    </row>
    <row r="6" spans="1:14">
      <c r="A6" s="83"/>
      <c r="B6" s="83"/>
      <c r="C6" s="83"/>
      <c r="D6" s="83"/>
      <c r="E6" s="83"/>
      <c r="F6" s="83"/>
      <c r="G6" s="83"/>
      <c r="H6" s="83"/>
      <c r="I6" s="83"/>
    </row>
    <row r="7" spans="1:14">
      <c r="A7" s="516" t="s">
        <v>8</v>
      </c>
      <c r="B7" s="517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  <c r="I7" s="80">
        <f>H7+1</f>
        <v>2018</v>
      </c>
    </row>
    <row r="8" spans="1:14">
      <c r="A8" s="83"/>
      <c r="B8" s="173"/>
      <c r="C8" s="283"/>
      <c r="D8" s="283"/>
      <c r="E8" s="283"/>
      <c r="F8" s="283"/>
      <c r="G8" s="283"/>
      <c r="H8" s="283"/>
      <c r="I8" s="283"/>
    </row>
    <row r="9" spans="1:14">
      <c r="A9" s="94" t="s">
        <v>132</v>
      </c>
      <c r="B9" s="104"/>
      <c r="C9" s="286">
        <f>+'Cash Flow'!C21+PlanoFinanceiro!C12-PlanoFinanceiro!C23-DR!B28</f>
        <v>-33064.343998215561</v>
      </c>
      <c r="D9" s="286">
        <f>+'Cash Flow'!D21+PlanoFinanceiro!D12-PlanoFinanceiro!D23-DR!C28</f>
        <v>29114.633845902772</v>
      </c>
      <c r="E9" s="286">
        <f>+'Cash Flow'!E21+PlanoFinanceiro!E12-PlanoFinanceiro!E23-DR!D28</f>
        <v>8174.0458423333193</v>
      </c>
      <c r="F9" s="286">
        <f>+'Cash Flow'!F21+PlanoFinanceiro!F12-PlanoFinanceiro!F23-DR!E28</f>
        <v>8964.4751102696737</v>
      </c>
      <c r="G9" s="286">
        <f>+'Cash Flow'!G21+PlanoFinanceiro!G12-PlanoFinanceiro!G23-DR!F28</f>
        <v>33161.847432671653</v>
      </c>
      <c r="H9" s="286">
        <f>+'Cash Flow'!H21+PlanoFinanceiro!H12-PlanoFinanceiro!H23-DR!G28</f>
        <v>91630.402381623935</v>
      </c>
      <c r="I9" s="286">
        <f>+(H9*(1+Pressupostos!B37))/(I13-Pressupostos!B37)</f>
        <v>1354805.1594101554</v>
      </c>
      <c r="K9" s="101"/>
      <c r="L9" s="101"/>
      <c r="M9" s="101"/>
      <c r="N9" s="101"/>
    </row>
    <row r="10" spans="1:14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>
      <c r="A11" s="162" t="s">
        <v>111</v>
      </c>
      <c r="B11" s="290"/>
      <c r="C11" s="291">
        <f>+Pressupostos!B34</f>
        <v>1.6E-2</v>
      </c>
      <c r="D11" s="291">
        <f>+C11*(1+VN!D9)</f>
        <v>1.6480000000000002E-2</v>
      </c>
      <c r="E11" s="291">
        <f>+D11*(1+VN!E9)</f>
        <v>1.6974400000000001E-2</v>
      </c>
      <c r="F11" s="291">
        <f>+E11*(1+VN!F9)</f>
        <v>1.7483632000000002E-2</v>
      </c>
      <c r="G11" s="291">
        <f>+F11*(1+VN!G9)</f>
        <v>1.8008140960000002E-2</v>
      </c>
      <c r="H11" s="291">
        <f>+G11*(1+VN!H9)</f>
        <v>1.8548385188800004E-2</v>
      </c>
      <c r="I11" s="291">
        <f>+H11*(1+VN!H9)</f>
        <v>1.9104836744464004E-2</v>
      </c>
      <c r="K11" s="282" t="s">
        <v>24</v>
      </c>
      <c r="L11" s="284">
        <f>+C16</f>
        <v>-33064.343998215561</v>
      </c>
      <c r="M11" s="284">
        <f>+L11</f>
        <v>-33064.343998215561</v>
      </c>
      <c r="N11" s="285" t="b">
        <f t="shared" ref="N11:N17" si="0">IF(M11&gt;0,M11/L11*12)</f>
        <v>0</v>
      </c>
    </row>
    <row r="12" spans="1:14">
      <c r="A12" s="162" t="s">
        <v>112</v>
      </c>
      <c r="B12" s="290"/>
      <c r="C12" s="291">
        <f>+Pressupostos!B35</f>
        <v>0.1</v>
      </c>
      <c r="D12" s="291">
        <f t="shared" ref="D12:I12" si="1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26038.730669389162</v>
      </c>
      <c r="M12" s="284">
        <f t="shared" ref="M12:M17" si="2">+M11+L12</f>
        <v>-7025.6133288263991</v>
      </c>
      <c r="N12" s="306" t="b">
        <f t="shared" si="0"/>
        <v>0</v>
      </c>
    </row>
    <row r="13" spans="1:14">
      <c r="A13" s="162" t="s">
        <v>129</v>
      </c>
      <c r="B13" s="290"/>
      <c r="C13" s="291">
        <f t="shared" ref="C13:I13" si="3">+(1+C11)*(1+C12)-1</f>
        <v>0.11760000000000015</v>
      </c>
      <c r="D13" s="291">
        <f t="shared" si="3"/>
        <v>0.11812800000000023</v>
      </c>
      <c r="E13" s="291">
        <f t="shared" si="3"/>
        <v>0.11867184000000019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6534.9585913746923</v>
      </c>
      <c r="M13" s="284">
        <f t="shared" si="2"/>
        <v>-490.65473745170675</v>
      </c>
      <c r="N13" s="306" t="b">
        <f t="shared" si="0"/>
        <v>0</v>
      </c>
    </row>
    <row r="14" spans="1:14">
      <c r="A14" s="162" t="s">
        <v>130</v>
      </c>
      <c r="B14" s="290"/>
      <c r="C14" s="294">
        <v>1</v>
      </c>
      <c r="D14" s="295">
        <f t="shared" ref="D14:I14" si="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6403.3983538606644</v>
      </c>
      <c r="M14" s="284">
        <f t="shared" si="2"/>
        <v>5912.7436164089577</v>
      </c>
      <c r="N14" s="292">
        <f t="shared" si="0"/>
        <v>11.080510609515548</v>
      </c>
    </row>
    <row r="15" spans="1:14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21153.412333931086</v>
      </c>
      <c r="M15" s="284">
        <f t="shared" si="2"/>
        <v>27066.155950340042</v>
      </c>
      <c r="N15" s="292">
        <f>IF(M15&gt;0,M15/L15*12)</f>
        <v>15.354206984520204</v>
      </c>
    </row>
    <row r="16" spans="1:14">
      <c r="A16" s="94" t="s">
        <v>131</v>
      </c>
      <c r="B16" s="104"/>
      <c r="C16" s="286">
        <f>+C9/C14</f>
        <v>-33064.343998215561</v>
      </c>
      <c r="D16" s="286">
        <f t="shared" ref="D16:I16" si="5">+D9/D14</f>
        <v>26038.730669389162</v>
      </c>
      <c r="E16" s="286">
        <f t="shared" si="5"/>
        <v>6534.9585913746923</v>
      </c>
      <c r="F16" s="286">
        <f t="shared" si="5"/>
        <v>6403.3983538606644</v>
      </c>
      <c r="G16" s="286">
        <f t="shared" si="5"/>
        <v>21153.412333931086</v>
      </c>
      <c r="H16" s="286">
        <f t="shared" si="5"/>
        <v>52168.333318653451</v>
      </c>
      <c r="I16" s="286">
        <f t="shared" si="5"/>
        <v>688070.0623103769</v>
      </c>
      <c r="K16" s="282" t="s">
        <v>29</v>
      </c>
      <c r="L16" s="284">
        <f>+H16</f>
        <v>52168.333318653451</v>
      </c>
      <c r="M16" s="284">
        <f t="shared" si="2"/>
        <v>79234.489268993493</v>
      </c>
      <c r="N16" s="292">
        <f>IF(M16&gt;0,M16/L16*12)</f>
        <v>18.225881693788871</v>
      </c>
    </row>
    <row r="17" spans="1:1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688070.0623103769</v>
      </c>
      <c r="M17" s="284">
        <f t="shared" si="2"/>
        <v>767304.5515793704</v>
      </c>
      <c r="N17" s="292">
        <f t="shared" si="0"/>
        <v>13.381856184870642</v>
      </c>
    </row>
    <row r="18" spans="1:15">
      <c r="A18" s="94"/>
      <c r="B18" s="104"/>
      <c r="C18" s="286">
        <f>+C16</f>
        <v>-33064.343998215561</v>
      </c>
      <c r="D18" s="286">
        <f>+SUM($C$16:D16)</f>
        <v>-7025.6133288263991</v>
      </c>
      <c r="E18" s="286">
        <f>+SUM($C$16:E16)</f>
        <v>-490.65473745170675</v>
      </c>
      <c r="F18" s="286">
        <f>+SUM($C$16:F16)</f>
        <v>5912.7436164089577</v>
      </c>
      <c r="G18" s="286">
        <f>+SUM($C$16:G16)</f>
        <v>27066.155950340042</v>
      </c>
      <c r="H18" s="286">
        <f>+SUM($C$16:H16)</f>
        <v>79234.489268993493</v>
      </c>
      <c r="I18" s="286">
        <f>+SUM($C$16:I16)</f>
        <v>767304.5515793704</v>
      </c>
      <c r="K18" s="101"/>
      <c r="L18" s="101"/>
      <c r="M18" s="101"/>
      <c r="N18" s="101"/>
    </row>
    <row r="19" spans="1:1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5">
      <c r="A20" s="94" t="s">
        <v>216</v>
      </c>
      <c r="B20" s="104"/>
      <c r="C20" s="286">
        <f>I18</f>
        <v>767304.5515793704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5">
      <c r="A22" s="94"/>
      <c r="B22" s="104"/>
      <c r="C22" s="221" t="e">
        <f>+IRR(C9,0.1)</f>
        <v>#NUM!</v>
      </c>
      <c r="D22" s="221">
        <f>+IRR($C$9:D9,0.1)</f>
        <v>-0.11945527038189847</v>
      </c>
      <c r="E22" s="221">
        <f>+IRR($C$9:E9,0.1)</f>
        <v>0.10439290144839787</v>
      </c>
      <c r="F22" s="221">
        <f>+IRR($C$9:F9,0.1)</f>
        <v>0.25127917806420375</v>
      </c>
      <c r="G22" s="221">
        <f>+IRR($C$9:G9,0.1)</f>
        <v>0.48038873688314987</v>
      </c>
      <c r="H22" s="221">
        <f>+IRR($C$9:H9,0.1)</f>
        <v>0.68131711966429387</v>
      </c>
      <c r="I22" s="221">
        <f>+IRR($C$9:I9,0.1)</f>
        <v>1.1575474968822852</v>
      </c>
      <c r="J22" s="309"/>
      <c r="K22" s="101"/>
      <c r="L22" s="101"/>
      <c r="M22" s="101"/>
      <c r="N22" s="310"/>
    </row>
    <row r="23" spans="1:1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5">
      <c r="A24" s="94" t="s">
        <v>1</v>
      </c>
      <c r="B24" s="104"/>
      <c r="C24" s="302">
        <f>+I22</f>
        <v>1.1575474968822852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5">
      <c r="A26" s="94" t="s">
        <v>2</v>
      </c>
      <c r="B26" s="104"/>
      <c r="C26" s="286">
        <f>COUNTIF(N11:N16,"falso")</f>
        <v>0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15">
      <c r="A27" s="83"/>
      <c r="B27" s="83"/>
      <c r="C27" s="83"/>
      <c r="D27" s="83"/>
      <c r="E27" s="83"/>
      <c r="F27" s="83"/>
      <c r="G27" s="83"/>
      <c r="H27" s="83"/>
      <c r="I27" s="83"/>
    </row>
    <row r="28" spans="1:1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>
      <c r="A29" s="516" t="s">
        <v>7</v>
      </c>
      <c r="B29" s="517"/>
      <c r="C29" s="80">
        <f>+VN!C8</f>
        <v>2012</v>
      </c>
      <c r="D29" s="80">
        <f>+VN!D8</f>
        <v>2013</v>
      </c>
      <c r="E29" s="80">
        <f>+VN!E8</f>
        <v>2014</v>
      </c>
      <c r="F29" s="80">
        <f>+VN!F8</f>
        <v>2015</v>
      </c>
      <c r="G29" s="80">
        <f>+VN!G8</f>
        <v>2016</v>
      </c>
      <c r="H29" s="80">
        <f>+VN!H8</f>
        <v>2017</v>
      </c>
      <c r="I29" s="80">
        <f>+H29+1</f>
        <v>2018</v>
      </c>
      <c r="K29" s="282"/>
      <c r="L29" s="282" t="s">
        <v>3</v>
      </c>
      <c r="M29" s="282" t="s">
        <v>4</v>
      </c>
      <c r="N29" s="282"/>
      <c r="O29" s="101"/>
    </row>
    <row r="30" spans="1:1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-33008.536708333333</v>
      </c>
      <c r="M30" s="284">
        <f>+L30</f>
        <v>-33008.536708333333</v>
      </c>
      <c r="N30" s="285" t="b">
        <f t="shared" ref="N30:N35" si="6">IF(M30&gt;0,M30/L30*12)</f>
        <v>0</v>
      </c>
      <c r="O30" s="101"/>
    </row>
    <row r="31" spans="1:15">
      <c r="A31" s="94" t="s">
        <v>133</v>
      </c>
      <c r="B31" s="104"/>
      <c r="C31" s="286">
        <f>+'Cash Flow'!C21</f>
        <v>-33008.536708333333</v>
      </c>
      <c r="D31" s="286">
        <f>+'Cash Flow'!D21</f>
        <v>29114.633845902772</v>
      </c>
      <c r="E31" s="286">
        <f>+'Cash Flow'!E21</f>
        <v>8174.0458423333193</v>
      </c>
      <c r="F31" s="286">
        <f>+'Cash Flow'!F21</f>
        <v>8964.4751102696737</v>
      </c>
      <c r="G31" s="286">
        <f>+'Cash Flow'!G21</f>
        <v>33161.847432671653</v>
      </c>
      <c r="H31" s="286">
        <f>+'Cash Flow'!H21</f>
        <v>91630.402381623935</v>
      </c>
      <c r="I31" s="286">
        <f>(H31*(1+Pressupostos!B37))/(Avaliação!I33-Pressupostos!B37)</f>
        <v>1403562.2026064158</v>
      </c>
      <c r="K31" s="282" t="s">
        <v>25</v>
      </c>
      <c r="L31" s="284">
        <f>+D36</f>
        <v>26077.165597147083</v>
      </c>
      <c r="M31" s="284">
        <f>+M30+L31</f>
        <v>-6931.3711111862503</v>
      </c>
      <c r="N31" s="287" t="b">
        <f t="shared" si="6"/>
        <v>0</v>
      </c>
      <c r="O31" s="101"/>
    </row>
    <row r="32" spans="1:1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>
        <f>+E36</f>
        <v>6554.5503156328732</v>
      </c>
      <c r="M32" s="284">
        <f>+M31+L32</f>
        <v>-376.82079555337714</v>
      </c>
      <c r="N32" s="287" t="b">
        <f t="shared" si="6"/>
        <v>0</v>
      </c>
      <c r="O32" s="101"/>
    </row>
    <row r="33" spans="1:15">
      <c r="A33" s="162" t="s">
        <v>134</v>
      </c>
      <c r="B33" s="290"/>
      <c r="C33" s="291">
        <f t="shared" ref="C33:H33" si="7">+B60</f>
        <v>0.11600000000000001</v>
      </c>
      <c r="D33" s="291">
        <f t="shared" si="7"/>
        <v>0.11648</v>
      </c>
      <c r="E33" s="291">
        <f t="shared" si="7"/>
        <v>0.11697440000000001</v>
      </c>
      <c r="F33" s="291">
        <f t="shared" si="7"/>
        <v>0.117483632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>
        <f>+F36</f>
        <v>6432.6441582572033</v>
      </c>
      <c r="M33" s="284">
        <f>+M32+L33</f>
        <v>6055.8233627038262</v>
      </c>
      <c r="N33" s="292">
        <f t="shared" si="6"/>
        <v>11.297046527774103</v>
      </c>
      <c r="O33" s="101"/>
    </row>
    <row r="34" spans="1:15">
      <c r="A34" s="224" t="s">
        <v>136</v>
      </c>
      <c r="B34" s="293"/>
      <c r="C34" s="294">
        <v>1</v>
      </c>
      <c r="D34" s="295">
        <f t="shared" ref="D34:I34" si="8">+C34*(1+D33)</f>
        <v>1.1164799999999999</v>
      </c>
      <c r="E34" s="295">
        <f t="shared" si="8"/>
        <v>1.2470795781119999</v>
      </c>
      <c r="F34" s="295">
        <f t="shared" si="8"/>
        <v>1.3935910163416252</v>
      </c>
      <c r="G34" s="295">
        <f t="shared" si="8"/>
        <v>1.5580461014386573</v>
      </c>
      <c r="H34" s="295">
        <f t="shared" si="8"/>
        <v>1.7427499508139155</v>
      </c>
      <c r="I34" s="295">
        <f t="shared" si="8"/>
        <v>1.9493501432707658</v>
      </c>
      <c r="K34" s="282" t="s">
        <v>28</v>
      </c>
      <c r="L34" s="284">
        <f>+G36</f>
        <v>21284.253015395956</v>
      </c>
      <c r="M34" s="284">
        <f>+M33+L34</f>
        <v>27340.07637809978</v>
      </c>
      <c r="N34" s="292">
        <f t="shared" si="6"/>
        <v>15.414255614227107</v>
      </c>
      <c r="O34" s="101"/>
    </row>
    <row r="35" spans="1:1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>
        <f>+H36</f>
        <v>52578.05477993549</v>
      </c>
      <c r="M35" s="284">
        <f>+M34+L35</f>
        <v>79918.131158035278</v>
      </c>
      <c r="N35" s="292">
        <f t="shared" si="6"/>
        <v>18.239883120636058</v>
      </c>
      <c r="O35" s="101"/>
    </row>
    <row r="36" spans="1:15">
      <c r="A36" s="94" t="s">
        <v>135</v>
      </c>
      <c r="B36" s="104"/>
      <c r="C36" s="286">
        <f t="shared" ref="C36:I36" si="9">+C31/C34</f>
        <v>-33008.536708333333</v>
      </c>
      <c r="D36" s="286">
        <f t="shared" si="9"/>
        <v>26077.165597147083</v>
      </c>
      <c r="E36" s="286">
        <f t="shared" si="9"/>
        <v>6554.5503156328732</v>
      </c>
      <c r="F36" s="286">
        <f t="shared" si="9"/>
        <v>6432.6441582572033</v>
      </c>
      <c r="G36" s="286">
        <f t="shared" si="9"/>
        <v>21284.253015395956</v>
      </c>
      <c r="H36" s="286">
        <f t="shared" si="9"/>
        <v>52578.05477993549</v>
      </c>
      <c r="I36" s="286">
        <f t="shared" si="9"/>
        <v>720015.44076192181</v>
      </c>
      <c r="K36" s="101"/>
      <c r="L36" s="101"/>
      <c r="M36" s="101"/>
      <c r="N36" s="101"/>
      <c r="O36" s="101"/>
    </row>
    <row r="37" spans="1:1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>
      <c r="A38" s="94"/>
      <c r="B38" s="104"/>
      <c r="C38" s="286">
        <f>+C36</f>
        <v>-33008.536708333333</v>
      </c>
      <c r="D38" s="286">
        <f>+SUM($C$36:D36)</f>
        <v>-6931.3711111862503</v>
      </c>
      <c r="E38" s="286">
        <f>+SUM($C$36:E36)</f>
        <v>-376.82079555337714</v>
      </c>
      <c r="F38" s="286">
        <f>+SUM($C$36:F36)</f>
        <v>6055.8233627038262</v>
      </c>
      <c r="G38" s="286">
        <f>+SUM($C$36:G36)</f>
        <v>27340.07637809978</v>
      </c>
      <c r="H38" s="286">
        <f>+SUM($C$36:H36)</f>
        <v>79918.131158035278</v>
      </c>
      <c r="I38" s="286">
        <f>+SUM($C$36:I36)</f>
        <v>799933.57191995706</v>
      </c>
      <c r="K38" s="101"/>
      <c r="L38" s="101"/>
      <c r="M38" s="101"/>
      <c r="N38" s="101"/>
      <c r="O38" s="101"/>
    </row>
    <row r="39" spans="1:1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>
      <c r="A40" s="322" t="s">
        <v>216</v>
      </c>
      <c r="B40" s="323"/>
      <c r="C40" s="324">
        <f>+I38</f>
        <v>799933.57191995706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15">
      <c r="A42" s="94"/>
      <c r="B42" s="104"/>
      <c r="C42" s="221" t="e">
        <f>+IRR(C31,0.1)</f>
        <v>#NUM!</v>
      </c>
      <c r="D42" s="221">
        <f>+IRR($C$31:D31,0.1)</f>
        <v>-0.117966539893379</v>
      </c>
      <c r="E42" s="221">
        <f>+IRR($C$31:E31,0.1)</f>
        <v>0.10594533899665368</v>
      </c>
      <c r="F42" s="221">
        <f>+IRR($C$31:F31,0.1)</f>
        <v>0.25275368825724964</v>
      </c>
      <c r="G42" s="221">
        <f>+IRR($C$31:G31,0.1)</f>
        <v>0.48170154998210651</v>
      </c>
      <c r="H42" s="221">
        <f>+IRR($C$31:H31,0.1)</f>
        <v>0.68249987896210784</v>
      </c>
      <c r="I42" s="221">
        <f>+IRR($C$31:I31,0.1)</f>
        <v>1.1674517072432271</v>
      </c>
    </row>
    <row r="43" spans="1:1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15">
      <c r="A44" s="94" t="s">
        <v>1</v>
      </c>
      <c r="B44" s="104"/>
      <c r="C44" s="302">
        <f>+I42</f>
        <v>1.1674517072432271</v>
      </c>
      <c r="D44" s="303"/>
      <c r="E44" s="303"/>
      <c r="F44" s="303"/>
      <c r="G44" s="303"/>
      <c r="H44" s="283"/>
      <c r="I44" s="283"/>
    </row>
    <row r="45" spans="1:15">
      <c r="A45" s="83"/>
      <c r="B45" s="83"/>
      <c r="C45" s="83"/>
      <c r="D45" s="83"/>
      <c r="E45" s="83"/>
      <c r="F45" s="83"/>
      <c r="G45" s="83"/>
      <c r="H45" s="83"/>
      <c r="I45" s="83"/>
    </row>
    <row r="46" spans="1:15">
      <c r="A46" s="94" t="s">
        <v>2</v>
      </c>
      <c r="B46" s="104"/>
      <c r="C46" s="286">
        <f>COUNTIF(N30:N35,"falso")</f>
        <v>0</v>
      </c>
      <c r="D46" s="304" t="s">
        <v>9</v>
      </c>
      <c r="E46" s="321"/>
      <c r="F46" s="83"/>
      <c r="G46" s="83"/>
      <c r="H46" s="83"/>
      <c r="I46" s="83"/>
    </row>
    <row r="47" spans="1:15">
      <c r="A47" s="83"/>
      <c r="B47" s="83"/>
      <c r="C47" s="83"/>
      <c r="D47" s="83"/>
      <c r="E47" s="83"/>
      <c r="F47" s="83"/>
      <c r="G47" s="83"/>
      <c r="H47" s="83"/>
      <c r="I47" s="83"/>
    </row>
    <row r="48" spans="1:15">
      <c r="A48" s="83"/>
      <c r="B48" s="305"/>
      <c r="C48" s="83"/>
      <c r="D48" s="83"/>
      <c r="E48" s="83"/>
      <c r="F48" s="83"/>
      <c r="G48" s="83"/>
      <c r="H48" s="83"/>
      <c r="I48" s="83"/>
    </row>
    <row r="49" spans="1:9">
      <c r="A49" s="339" t="s">
        <v>255</v>
      </c>
      <c r="B49" s="331">
        <f>+C29</f>
        <v>2012</v>
      </c>
      <c r="C49" s="336">
        <f>+B49+1</f>
        <v>2013</v>
      </c>
      <c r="D49" s="336">
        <f>+C49+1</f>
        <v>2014</v>
      </c>
      <c r="E49" s="336">
        <f>+D49+1</f>
        <v>2015</v>
      </c>
      <c r="F49" s="336">
        <f>+E49+1</f>
        <v>2016</v>
      </c>
      <c r="G49" s="336">
        <f>+F49+1</f>
        <v>2017</v>
      </c>
      <c r="H49" s="83"/>
      <c r="I49" s="83"/>
    </row>
    <row r="50" spans="1:9">
      <c r="A50" s="335" t="s">
        <v>260</v>
      </c>
      <c r="B50" s="337">
        <f>+Balanço!D39+Balanço!D46</f>
        <v>0</v>
      </c>
      <c r="C50" s="337">
        <f>+Balanço!E39+Balanço!E46</f>
        <v>0</v>
      </c>
      <c r="D50" s="337">
        <f>+Balanço!F39+Balanço!F46</f>
        <v>0</v>
      </c>
      <c r="E50" s="337">
        <f>+Balanço!G39+Balanço!G46</f>
        <v>0</v>
      </c>
      <c r="F50" s="337">
        <f>+Balanço!H39+Balanço!H46</f>
        <v>0</v>
      </c>
      <c r="G50" s="337">
        <f>+Balanço!I39+Balanço!I46</f>
        <v>0</v>
      </c>
      <c r="H50" s="83"/>
      <c r="I50" s="83"/>
    </row>
    <row r="51" spans="1:9">
      <c r="A51" s="335" t="s">
        <v>217</v>
      </c>
      <c r="B51" s="337">
        <f>+Balanço!C33</f>
        <v>21025.979376784442</v>
      </c>
      <c r="C51" s="337">
        <f>+Balanço!D33</f>
        <v>47808.998785922056</v>
      </c>
      <c r="D51" s="337">
        <f>+Balanço!E33</f>
        <v>47660.703386409899</v>
      </c>
      <c r="E51" s="337">
        <f>+Balanço!F33</f>
        <v>57960.76868633461</v>
      </c>
      <c r="F51" s="337">
        <f>+Balanço!G33</f>
        <v>93179.103037664376</v>
      </c>
      <c r="G51" s="337">
        <f>+Balanço!H33</f>
        <v>189342.73344740213</v>
      </c>
      <c r="H51" s="83"/>
      <c r="I51" s="83"/>
    </row>
    <row r="52" spans="1:9">
      <c r="A52" s="334" t="s">
        <v>48</v>
      </c>
      <c r="B52" s="337">
        <f t="shared" ref="B52:G52" si="10">+B50+B51</f>
        <v>21025.979376784442</v>
      </c>
      <c r="C52" s="337">
        <f t="shared" si="10"/>
        <v>47808.998785922056</v>
      </c>
      <c r="D52" s="337">
        <f t="shared" si="10"/>
        <v>47660.703386409899</v>
      </c>
      <c r="E52" s="337">
        <f t="shared" si="10"/>
        <v>57960.76868633461</v>
      </c>
      <c r="F52" s="337">
        <f t="shared" si="10"/>
        <v>93179.103037664376</v>
      </c>
      <c r="G52" s="337">
        <f t="shared" si="10"/>
        <v>189342.73344740213</v>
      </c>
      <c r="H52" s="83"/>
      <c r="I52" s="83"/>
    </row>
    <row r="53" spans="1:9">
      <c r="A53" s="335" t="s">
        <v>262</v>
      </c>
      <c r="B53" s="338">
        <f t="shared" ref="B53:G53" si="11">+B50/B52</f>
        <v>0</v>
      </c>
      <c r="C53" s="338">
        <f t="shared" si="11"/>
        <v>0</v>
      </c>
      <c r="D53" s="338">
        <f t="shared" si="11"/>
        <v>0</v>
      </c>
      <c r="E53" s="338">
        <f t="shared" si="11"/>
        <v>0</v>
      </c>
      <c r="F53" s="338">
        <f t="shared" si="11"/>
        <v>0</v>
      </c>
      <c r="G53" s="338">
        <f t="shared" si="11"/>
        <v>0</v>
      </c>
      <c r="H53" s="83"/>
      <c r="I53" s="83"/>
    </row>
    <row r="54" spans="1:9">
      <c r="A54" s="335" t="s">
        <v>256</v>
      </c>
      <c r="B54" s="338">
        <f t="shared" ref="B54:G54" si="12">+B51/B52</f>
        <v>1</v>
      </c>
      <c r="C54" s="338">
        <f t="shared" si="12"/>
        <v>1</v>
      </c>
      <c r="D54" s="338">
        <f t="shared" si="12"/>
        <v>1</v>
      </c>
      <c r="E54" s="338">
        <f t="shared" si="12"/>
        <v>1</v>
      </c>
      <c r="F54" s="338">
        <f t="shared" si="12"/>
        <v>1</v>
      </c>
      <c r="G54" s="338">
        <f t="shared" si="12"/>
        <v>1</v>
      </c>
      <c r="H54" s="83"/>
      <c r="I54" s="83"/>
    </row>
    <row r="55" spans="1:9">
      <c r="A55" s="83"/>
      <c r="B55" s="305"/>
      <c r="C55" s="83"/>
      <c r="D55" s="83"/>
      <c r="E55" s="83"/>
      <c r="F55" s="83"/>
      <c r="G55" s="83"/>
      <c r="H55" s="83"/>
      <c r="I55" s="83"/>
    </row>
    <row r="56" spans="1:9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>
      <c r="A57" s="335" t="s">
        <v>259</v>
      </c>
      <c r="B57" s="338">
        <f>+Pressupostos!$B$32</f>
        <v>6.6000000000000003E-2</v>
      </c>
      <c r="C57" s="338">
        <f>+Pressupostos!$B$32</f>
        <v>6.6000000000000003E-2</v>
      </c>
      <c r="D57" s="338">
        <f>+Pressupostos!$B$32</f>
        <v>6.6000000000000003E-2</v>
      </c>
      <c r="E57" s="338">
        <f>+Pressupostos!$B$32</f>
        <v>6.6000000000000003E-2</v>
      </c>
      <c r="F57" s="338">
        <f>+Pressupostos!$B$32</f>
        <v>6.6000000000000003E-2</v>
      </c>
      <c r="G57" s="338">
        <f>+Pressupostos!$B$32</f>
        <v>6.6000000000000003E-2</v>
      </c>
      <c r="H57" s="83"/>
      <c r="I57" s="83"/>
    </row>
    <row r="58" spans="1:9">
      <c r="A58" s="335" t="s">
        <v>261</v>
      </c>
      <c r="B58" s="338">
        <f>B57*(1-Pressupostos!$B$28)</f>
        <v>5.2800000000000007E-2</v>
      </c>
      <c r="C58" s="338">
        <f>C57*(1-Pressupostos!$B$28)</f>
        <v>5.2800000000000007E-2</v>
      </c>
      <c r="D58" s="338">
        <f>D57*(1-Pressupostos!$B$28)</f>
        <v>5.2800000000000007E-2</v>
      </c>
      <c r="E58" s="338">
        <f>E57*(1-Pressupostos!$B$28)</f>
        <v>5.2800000000000007E-2</v>
      </c>
      <c r="F58" s="338">
        <f>F57*(1-Pressupostos!$B$28)</f>
        <v>5.2800000000000007E-2</v>
      </c>
      <c r="G58" s="338">
        <f>G57*(1-Pressupostos!$B$28)</f>
        <v>5.2800000000000007E-2</v>
      </c>
      <c r="H58" s="83"/>
      <c r="I58" s="83"/>
    </row>
    <row r="59" spans="1:9">
      <c r="A59" s="335" t="s">
        <v>257</v>
      </c>
      <c r="B59" s="338">
        <f>(C11+(Pressupostos!$B$36*Pressupostos!$B$35))</f>
        <v>0.11600000000000001</v>
      </c>
      <c r="C59" s="338">
        <f>(D11+(Pressupostos!$B$36*Pressupostos!$B$35))</f>
        <v>0.11648</v>
      </c>
      <c r="D59" s="338">
        <f>(E11+(Pressupostos!$B$36*Pressupostos!$B$35))</f>
        <v>0.11697440000000001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>
      <c r="A60" s="335" t="s">
        <v>137</v>
      </c>
      <c r="B60" s="420">
        <f t="shared" ref="B60:G60" si="13">(B53*B58)+(B54*B59)</f>
        <v>0.11600000000000001</v>
      </c>
      <c r="C60" s="338">
        <f t="shared" si="13"/>
        <v>0.11648</v>
      </c>
      <c r="D60" s="338">
        <f t="shared" si="13"/>
        <v>0.11697440000000001</v>
      </c>
      <c r="E60" s="338">
        <f t="shared" si="13"/>
        <v>0.117483632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scale="85" orientation="portrait" r:id="rId1"/>
  <headerFooter alignWithMargins="0">
    <oddFooter>&amp;C&amp;"Arial,Normal"&amp;8IAPMEI&amp;R&amp;"Arial,Normal"&amp;8&amp;P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topLeftCell="A65" workbookViewId="0"/>
  </sheetViews>
  <sheetFormatPr defaultColWidth="8.7109375" defaultRowHeight="12.75"/>
  <cols>
    <col min="1" max="1" width="42.28515625" style="93" customWidth="1"/>
    <col min="2" max="2" width="13.7109375" style="93" bestFit="1" customWidth="1"/>
    <col min="3" max="10" width="11.42578125" style="93" customWidth="1"/>
    <col min="11" max="16384" width="8.7109375" style="93"/>
  </cols>
  <sheetData>
    <row r="1" spans="1:8">
      <c r="A1" s="83"/>
      <c r="B1" s="83"/>
      <c r="C1" s="267"/>
      <c r="D1" s="267"/>
      <c r="E1" s="267"/>
      <c r="F1" s="267"/>
      <c r="G1" s="268" t="s">
        <v>65</v>
      </c>
      <c r="H1" s="383" t="str">
        <f>+Pressupostos!E1</f>
        <v>Portugal OutofTrack</v>
      </c>
    </row>
    <row r="2" spans="1:8" s="272" customFormat="1">
      <c r="A2" s="270"/>
      <c r="B2" s="270"/>
      <c r="C2" s="270"/>
      <c r="D2" s="270"/>
      <c r="E2" s="73"/>
      <c r="F2" s="73"/>
      <c r="G2" s="73"/>
      <c r="H2" s="271"/>
    </row>
    <row r="3" spans="1:8" s="272" customFormat="1">
      <c r="A3" s="270"/>
      <c r="B3" s="270"/>
      <c r="C3" s="270"/>
      <c r="D3" s="270"/>
      <c r="E3" s="73"/>
      <c r="F3" s="73"/>
      <c r="G3" s="73"/>
      <c r="H3" s="271"/>
    </row>
    <row r="4" spans="1:8" ht="15.75">
      <c r="A4" s="460" t="s">
        <v>389</v>
      </c>
      <c r="B4" s="460"/>
      <c r="C4" s="460"/>
      <c r="D4" s="460"/>
      <c r="E4" s="460"/>
      <c r="F4" s="460"/>
      <c r="G4" s="460"/>
      <c r="H4" s="460"/>
    </row>
    <row r="5" spans="1:8">
      <c r="A5" s="83"/>
      <c r="B5" s="173"/>
      <c r="C5" s="83"/>
      <c r="D5" s="83"/>
      <c r="E5" s="83"/>
      <c r="F5" s="83"/>
      <c r="G5" s="83"/>
      <c r="H5" s="83"/>
    </row>
    <row r="6" spans="1:8">
      <c r="A6" s="384" t="s">
        <v>390</v>
      </c>
      <c r="B6" s="173"/>
      <c r="C6" s="83"/>
      <c r="D6" s="83"/>
      <c r="E6" s="83"/>
      <c r="F6" s="83"/>
      <c r="G6" s="83"/>
      <c r="H6" s="83"/>
    </row>
    <row r="7" spans="1:8">
      <c r="A7" s="385" t="s">
        <v>391</v>
      </c>
      <c r="B7" s="386" t="s">
        <v>392</v>
      </c>
      <c r="C7" s="386" t="s">
        <v>393</v>
      </c>
      <c r="D7" s="386" t="s">
        <v>394</v>
      </c>
      <c r="E7" s="386" t="s">
        <v>395</v>
      </c>
      <c r="F7" s="386" t="s">
        <v>396</v>
      </c>
      <c r="G7" s="83"/>
      <c r="H7" s="83"/>
    </row>
    <row r="8" spans="1:8">
      <c r="A8" s="387"/>
      <c r="B8" s="388"/>
      <c r="C8" s="388"/>
      <c r="D8" s="388"/>
      <c r="E8" s="388"/>
      <c r="F8" s="388"/>
      <c r="G8" s="83"/>
      <c r="H8" s="83"/>
    </row>
    <row r="9" spans="1:8">
      <c r="A9" s="389"/>
      <c r="B9" s="388"/>
      <c r="C9" s="388"/>
      <c r="D9" s="388"/>
      <c r="E9" s="388"/>
      <c r="F9" s="388"/>
      <c r="G9" s="83"/>
      <c r="H9" s="83"/>
    </row>
    <row r="10" spans="1:8">
      <c r="A10" s="390"/>
      <c r="B10" s="60"/>
      <c r="C10" s="60"/>
      <c r="D10" s="60"/>
      <c r="E10" s="60"/>
      <c r="F10" s="60"/>
      <c r="G10" s="83"/>
      <c r="H10" s="83"/>
    </row>
    <row r="11" spans="1:8">
      <c r="A11" s="390"/>
      <c r="B11" s="60"/>
      <c r="C11" s="60"/>
      <c r="D11" s="60"/>
      <c r="E11" s="60"/>
      <c r="F11" s="60"/>
      <c r="G11" s="232"/>
      <c r="H11" s="232"/>
    </row>
    <row r="12" spans="1:8">
      <c r="A12" s="390"/>
      <c r="B12" s="60"/>
      <c r="C12" s="60"/>
      <c r="D12" s="60"/>
      <c r="E12" s="60"/>
      <c r="F12" s="60"/>
      <c r="G12" s="232"/>
      <c r="H12" s="232"/>
    </row>
    <row r="13" spans="1:8">
      <c r="A13" s="389"/>
      <c r="B13" s="60"/>
      <c r="C13" s="60"/>
      <c r="D13" s="60"/>
      <c r="E13" s="60"/>
      <c r="F13" s="60"/>
      <c r="G13" s="232"/>
      <c r="H13" s="232"/>
    </row>
    <row r="14" spans="1:8">
      <c r="A14" s="389"/>
      <c r="B14" s="60"/>
      <c r="C14" s="60"/>
      <c r="D14" s="60"/>
      <c r="E14" s="60"/>
      <c r="F14" s="60"/>
      <c r="G14" s="232"/>
      <c r="H14" s="232"/>
    </row>
    <row r="15" spans="1:8">
      <c r="A15" s="390"/>
      <c r="B15" s="60"/>
      <c r="C15" s="60"/>
      <c r="D15" s="60"/>
      <c r="E15" s="60"/>
      <c r="F15" s="60"/>
      <c r="G15" s="232"/>
      <c r="H15" s="232"/>
    </row>
    <row r="16" spans="1:8">
      <c r="A16" s="390"/>
      <c r="B16" s="60"/>
      <c r="C16" s="60"/>
      <c r="D16" s="60"/>
      <c r="E16" s="60"/>
      <c r="F16" s="60"/>
      <c r="G16" s="232"/>
      <c r="H16" s="232"/>
    </row>
    <row r="17" spans="1:8">
      <c r="A17" s="389"/>
      <c r="B17" s="60"/>
      <c r="C17" s="60"/>
      <c r="D17" s="60"/>
      <c r="E17" s="60"/>
      <c r="F17" s="60"/>
      <c r="G17" s="232"/>
      <c r="H17" s="232"/>
    </row>
    <row r="18" spans="1:8">
      <c r="A18" s="389"/>
      <c r="B18" s="60"/>
      <c r="C18" s="60"/>
      <c r="D18" s="60"/>
      <c r="E18" s="60"/>
      <c r="F18" s="60"/>
      <c r="G18" s="232"/>
      <c r="H18" s="232"/>
    </row>
    <row r="19" spans="1:8">
      <c r="A19" s="389"/>
      <c r="B19" s="60"/>
      <c r="C19" s="60"/>
      <c r="D19" s="60"/>
      <c r="E19" s="60"/>
      <c r="F19" s="60"/>
      <c r="G19" s="232"/>
      <c r="H19" s="232"/>
    </row>
    <row r="20" spans="1:8">
      <c r="A20" s="387"/>
      <c r="B20" s="391"/>
      <c r="C20" s="391"/>
      <c r="D20" s="391"/>
      <c r="E20" s="391"/>
      <c r="F20" s="391"/>
      <c r="G20" s="232"/>
      <c r="H20" s="232"/>
    </row>
    <row r="21" spans="1:8">
      <c r="A21" s="389"/>
      <c r="B21" s="392"/>
      <c r="C21" s="393"/>
      <c r="D21" s="393"/>
      <c r="E21" s="393"/>
      <c r="F21" s="394"/>
      <c r="G21" s="232"/>
      <c r="H21" s="232"/>
    </row>
    <row r="22" spans="1:8">
      <c r="A22" s="173"/>
      <c r="B22" s="395"/>
      <c r="C22" s="395"/>
      <c r="D22" s="395"/>
      <c r="E22" s="395"/>
      <c r="F22" s="395"/>
      <c r="G22" s="232"/>
      <c r="H22" s="232"/>
    </row>
    <row r="23" spans="1:8">
      <c r="A23" s="173"/>
      <c r="B23" s="395"/>
      <c r="C23" s="395"/>
      <c r="D23" s="395"/>
      <c r="E23" s="395"/>
      <c r="F23" s="395"/>
      <c r="G23" s="232"/>
      <c r="H23" s="232"/>
    </row>
    <row r="24" spans="1:8">
      <c r="A24" s="384" t="s">
        <v>397</v>
      </c>
      <c r="B24" s="173"/>
      <c r="C24" s="83"/>
      <c r="D24" s="83"/>
      <c r="E24" s="83"/>
      <c r="F24" s="83"/>
      <c r="G24" s="232"/>
      <c r="H24" s="232" t="s">
        <v>398</v>
      </c>
    </row>
    <row r="25" spans="1:8">
      <c r="A25" s="385" t="s">
        <v>399</v>
      </c>
      <c r="B25" s="396"/>
      <c r="C25" s="386">
        <f>+Pressupostos!B11</f>
        <v>2012</v>
      </c>
      <c r="D25" s="386">
        <f>+C25+1</f>
        <v>2013</v>
      </c>
      <c r="E25" s="386">
        <f>+D25+1</f>
        <v>2014</v>
      </c>
      <c r="F25" s="386">
        <f>+E25+1</f>
        <v>2015</v>
      </c>
      <c r="G25" s="386">
        <f>+F25+1</f>
        <v>2016</v>
      </c>
      <c r="H25" s="386">
        <f>+G25+1</f>
        <v>2017</v>
      </c>
    </row>
    <row r="26" spans="1:8">
      <c r="A26" s="359" t="s">
        <v>393</v>
      </c>
      <c r="B26" s="397"/>
      <c r="C26" s="388"/>
      <c r="D26" s="388"/>
      <c r="E26" s="388"/>
      <c r="F26" s="388"/>
      <c r="G26" s="388"/>
      <c r="H26" s="388"/>
    </row>
    <row r="27" spans="1:8">
      <c r="A27" s="359" t="s">
        <v>394</v>
      </c>
      <c r="B27" s="398"/>
      <c r="C27" s="60"/>
      <c r="D27" s="60"/>
      <c r="E27" s="60"/>
      <c r="F27" s="60"/>
      <c r="G27" s="60"/>
      <c r="H27" s="60"/>
    </row>
    <row r="28" spans="1:8">
      <c r="A28" s="359" t="s">
        <v>395</v>
      </c>
      <c r="B28" s="398"/>
      <c r="C28" s="60"/>
      <c r="D28" s="60"/>
      <c r="E28" s="60"/>
      <c r="F28" s="60"/>
      <c r="G28" s="60"/>
      <c r="H28" s="60"/>
    </row>
    <row r="29" spans="1:8">
      <c r="A29" s="359" t="s">
        <v>396</v>
      </c>
      <c r="B29" s="398"/>
      <c r="C29" s="60"/>
      <c r="D29" s="60"/>
      <c r="E29" s="60"/>
      <c r="F29" s="60"/>
      <c r="G29" s="60"/>
      <c r="H29" s="60"/>
    </row>
    <row r="30" spans="1:8">
      <c r="A30" s="389"/>
      <c r="B30" s="398"/>
      <c r="C30" s="60"/>
      <c r="D30" s="60"/>
      <c r="E30" s="60"/>
      <c r="F30" s="60"/>
      <c r="G30" s="60"/>
      <c r="H30" s="60"/>
    </row>
    <row r="31" spans="1:8">
      <c r="A31" s="389"/>
      <c r="B31" s="398"/>
      <c r="C31" s="60"/>
      <c r="D31" s="60"/>
      <c r="E31" s="60"/>
      <c r="F31" s="60"/>
      <c r="G31" s="60"/>
      <c r="H31" s="60"/>
    </row>
    <row r="32" spans="1:8">
      <c r="A32" s="390"/>
      <c r="B32" s="398"/>
      <c r="C32" s="60"/>
      <c r="D32" s="60"/>
      <c r="E32" s="60"/>
      <c r="F32" s="60"/>
      <c r="G32" s="60"/>
      <c r="H32" s="60"/>
    </row>
    <row r="33" spans="1:8">
      <c r="A33" s="519" t="s">
        <v>48</v>
      </c>
      <c r="B33" s="520"/>
      <c r="C33" s="399">
        <f t="shared" ref="C33:H33" si="0">+SUM(C26:C32)</f>
        <v>0</v>
      </c>
      <c r="D33" s="399">
        <f t="shared" si="0"/>
        <v>0</v>
      </c>
      <c r="E33" s="399">
        <f t="shared" si="0"/>
        <v>0</v>
      </c>
      <c r="F33" s="399">
        <f t="shared" si="0"/>
        <v>0</v>
      </c>
      <c r="G33" s="399">
        <f t="shared" si="0"/>
        <v>0</v>
      </c>
      <c r="H33" s="399">
        <f t="shared" si="0"/>
        <v>0</v>
      </c>
    </row>
    <row r="34" spans="1:8">
      <c r="A34" s="182"/>
      <c r="B34" s="400"/>
      <c r="C34" s="190"/>
      <c r="D34" s="190"/>
      <c r="E34" s="190"/>
      <c r="F34" s="190"/>
      <c r="G34" s="232"/>
      <c r="H34" s="232"/>
    </row>
    <row r="35" spans="1:8">
      <c r="A35" s="384" t="s">
        <v>400</v>
      </c>
      <c r="B35" s="173"/>
      <c r="C35" s="83"/>
      <c r="D35" s="83"/>
      <c r="E35" s="83"/>
      <c r="F35" s="83"/>
      <c r="G35" s="232"/>
      <c r="H35" s="232" t="s">
        <v>398</v>
      </c>
    </row>
    <row r="36" spans="1:8">
      <c r="A36" s="519" t="s">
        <v>401</v>
      </c>
      <c r="B36" s="520"/>
      <c r="C36" s="386">
        <f t="shared" ref="C36:H36" si="1">+C25</f>
        <v>2012</v>
      </c>
      <c r="D36" s="386">
        <f t="shared" si="1"/>
        <v>2013</v>
      </c>
      <c r="E36" s="386">
        <f t="shared" si="1"/>
        <v>2014</v>
      </c>
      <c r="F36" s="386">
        <f t="shared" si="1"/>
        <v>2015</v>
      </c>
      <c r="G36" s="386">
        <f t="shared" si="1"/>
        <v>2016</v>
      </c>
      <c r="H36" s="386">
        <f t="shared" si="1"/>
        <v>2017</v>
      </c>
    </row>
    <row r="37" spans="1:8">
      <c r="A37" s="387"/>
      <c r="B37" s="397"/>
      <c r="C37" s="388"/>
      <c r="D37" s="388"/>
      <c r="E37" s="388"/>
      <c r="F37" s="388"/>
      <c r="G37" s="388"/>
      <c r="H37" s="388"/>
    </row>
    <row r="38" spans="1:8">
      <c r="A38" s="401"/>
      <c r="B38" s="397"/>
      <c r="C38" s="388"/>
      <c r="D38" s="388"/>
      <c r="E38" s="388"/>
      <c r="F38" s="388"/>
      <c r="G38" s="388"/>
      <c r="H38" s="388"/>
    </row>
    <row r="39" spans="1:8">
      <c r="A39" s="401"/>
      <c r="B39" s="397"/>
      <c r="C39" s="388"/>
      <c r="D39" s="388"/>
      <c r="E39" s="388"/>
      <c r="F39" s="388"/>
      <c r="G39" s="388"/>
      <c r="H39" s="388"/>
    </row>
    <row r="40" spans="1:8">
      <c r="A40" s="401"/>
      <c r="B40" s="397"/>
      <c r="C40" s="388"/>
      <c r="D40" s="388"/>
      <c r="E40" s="388"/>
      <c r="F40" s="388"/>
      <c r="G40" s="388"/>
      <c r="H40" s="388"/>
    </row>
    <row r="41" spans="1:8">
      <c r="A41" s="401"/>
      <c r="B41" s="397"/>
      <c r="C41" s="388"/>
      <c r="D41" s="388"/>
      <c r="E41" s="388"/>
      <c r="F41" s="388"/>
      <c r="G41" s="388"/>
      <c r="H41" s="388"/>
    </row>
    <row r="42" spans="1:8">
      <c r="A42" s="401"/>
      <c r="B42" s="397"/>
      <c r="C42" s="388"/>
      <c r="D42" s="388"/>
      <c r="E42" s="388"/>
      <c r="F42" s="388"/>
      <c r="G42" s="388"/>
      <c r="H42" s="388"/>
    </row>
    <row r="43" spans="1:8">
      <c r="A43" s="401"/>
      <c r="B43" s="397"/>
      <c r="C43" s="388"/>
      <c r="D43" s="388"/>
      <c r="E43" s="388"/>
      <c r="F43" s="388"/>
      <c r="G43" s="388"/>
      <c r="H43" s="388"/>
    </row>
    <row r="44" spans="1:8">
      <c r="A44" s="401"/>
      <c r="B44" s="398"/>
      <c r="C44" s="388"/>
      <c r="D44" s="388"/>
      <c r="E44" s="388"/>
      <c r="F44" s="388"/>
      <c r="G44" s="388"/>
      <c r="H44" s="388"/>
    </row>
    <row r="45" spans="1:8">
      <c r="A45" s="401"/>
      <c r="B45" s="398"/>
      <c r="C45" s="388"/>
      <c r="D45" s="388"/>
      <c r="E45" s="388"/>
      <c r="F45" s="388"/>
      <c r="G45" s="388"/>
      <c r="H45" s="388"/>
    </row>
    <row r="46" spans="1:8">
      <c r="A46" s="401"/>
      <c r="B46" s="398"/>
      <c r="C46" s="388"/>
      <c r="D46" s="388"/>
      <c r="E46" s="388"/>
      <c r="F46" s="388"/>
      <c r="G46" s="388"/>
      <c r="H46" s="388"/>
    </row>
    <row r="47" spans="1:8">
      <c r="A47" s="389"/>
      <c r="B47" s="398"/>
      <c r="C47" s="388"/>
      <c r="D47" s="388"/>
      <c r="E47" s="388"/>
      <c r="F47" s="388"/>
      <c r="G47" s="388"/>
      <c r="H47" s="388"/>
    </row>
    <row r="48" spans="1:8">
      <c r="A48" s="389"/>
      <c r="B48" s="398"/>
      <c r="C48" s="388"/>
      <c r="D48" s="388"/>
      <c r="E48" s="388"/>
      <c r="F48" s="388"/>
      <c r="G48" s="388"/>
      <c r="H48" s="388"/>
    </row>
    <row r="49" spans="1:8">
      <c r="A49" s="389"/>
      <c r="B49" s="398"/>
      <c r="C49" s="388"/>
      <c r="D49" s="388"/>
      <c r="E49" s="388"/>
      <c r="F49" s="388"/>
      <c r="G49" s="388"/>
      <c r="H49" s="388"/>
    </row>
    <row r="50" spans="1:8">
      <c r="A50" s="390"/>
      <c r="B50" s="398"/>
      <c r="C50" s="60"/>
      <c r="D50" s="60"/>
      <c r="E50" s="60"/>
      <c r="F50" s="60"/>
      <c r="G50" s="60"/>
      <c r="H50" s="60"/>
    </row>
    <row r="51" spans="1:8">
      <c r="A51" s="173"/>
      <c r="B51" s="173"/>
      <c r="C51" s="173"/>
      <c r="D51" s="173"/>
      <c r="E51" s="173"/>
      <c r="F51" s="173"/>
      <c r="G51" s="83"/>
      <c r="H51" s="83"/>
    </row>
    <row r="52" spans="1:8">
      <c r="A52" s="173"/>
      <c r="B52" s="173"/>
      <c r="C52" s="173"/>
      <c r="D52" s="173"/>
      <c r="E52" s="173"/>
      <c r="F52" s="173"/>
      <c r="G52" s="83"/>
      <c r="H52" s="83"/>
    </row>
    <row r="53" spans="1:8">
      <c r="A53" s="384" t="s">
        <v>402</v>
      </c>
      <c r="B53" s="173"/>
      <c r="C53" s="83"/>
      <c r="D53" s="83"/>
      <c r="E53" s="83"/>
      <c r="F53" s="83"/>
      <c r="G53" s="232"/>
      <c r="H53" s="232"/>
    </row>
    <row r="54" spans="1:8">
      <c r="A54" s="519" t="s">
        <v>403</v>
      </c>
      <c r="B54" s="520"/>
      <c r="C54" s="386">
        <f t="shared" ref="C54:H54" si="2">+C36</f>
        <v>2012</v>
      </c>
      <c r="D54" s="386">
        <f t="shared" si="2"/>
        <v>2013</v>
      </c>
      <c r="E54" s="386">
        <f t="shared" si="2"/>
        <v>2014</v>
      </c>
      <c r="F54" s="386">
        <f t="shared" si="2"/>
        <v>2015</v>
      </c>
      <c r="G54" s="386">
        <f t="shared" si="2"/>
        <v>2016</v>
      </c>
      <c r="H54" s="386">
        <f t="shared" si="2"/>
        <v>2017</v>
      </c>
    </row>
    <row r="55" spans="1:8">
      <c r="A55" s="387"/>
      <c r="B55" s="397"/>
      <c r="C55" s="388"/>
      <c r="D55" s="388"/>
      <c r="E55" s="388"/>
      <c r="F55" s="388"/>
      <c r="G55" s="388"/>
      <c r="H55" s="388"/>
    </row>
    <row r="56" spans="1:8">
      <c r="A56" s="401"/>
      <c r="B56" s="397"/>
      <c r="C56" s="388"/>
      <c r="D56" s="388"/>
      <c r="E56" s="388"/>
      <c r="F56" s="388"/>
      <c r="G56" s="388"/>
      <c r="H56" s="388"/>
    </row>
    <row r="57" spans="1:8">
      <c r="A57" s="401"/>
      <c r="B57" s="397"/>
      <c r="C57" s="388"/>
      <c r="D57" s="388"/>
      <c r="E57" s="388"/>
      <c r="F57" s="388"/>
      <c r="G57" s="388"/>
      <c r="H57" s="388"/>
    </row>
    <row r="58" spans="1:8">
      <c r="A58" s="401"/>
      <c r="B58" s="397"/>
      <c r="C58" s="388"/>
      <c r="D58" s="388"/>
      <c r="E58" s="388"/>
      <c r="F58" s="388"/>
      <c r="G58" s="388"/>
      <c r="H58" s="388"/>
    </row>
    <row r="59" spans="1:8">
      <c r="A59" s="401"/>
      <c r="B59" s="397"/>
      <c r="C59" s="388"/>
      <c r="D59" s="388"/>
      <c r="E59" s="388"/>
      <c r="F59" s="388"/>
      <c r="G59" s="388"/>
      <c r="H59" s="388"/>
    </row>
    <row r="60" spans="1:8">
      <c r="A60" s="401"/>
      <c r="B60" s="397"/>
      <c r="C60" s="388"/>
      <c r="D60" s="388"/>
      <c r="E60" s="388"/>
      <c r="F60" s="388"/>
      <c r="G60" s="388"/>
      <c r="H60" s="388"/>
    </row>
    <row r="61" spans="1:8">
      <c r="A61" s="401"/>
      <c r="B61" s="397"/>
      <c r="C61" s="388"/>
      <c r="D61" s="388"/>
      <c r="E61" s="388"/>
      <c r="F61" s="388"/>
      <c r="G61" s="388"/>
      <c r="H61" s="388"/>
    </row>
    <row r="62" spans="1:8">
      <c r="A62" s="401"/>
      <c r="B62" s="398"/>
      <c r="C62" s="60"/>
      <c r="D62" s="60"/>
      <c r="E62" s="60"/>
      <c r="F62" s="60"/>
      <c r="G62" s="60"/>
      <c r="H62" s="60"/>
    </row>
    <row r="63" spans="1:8">
      <c r="A63" s="401"/>
      <c r="B63" s="398"/>
      <c r="C63" s="60"/>
      <c r="D63" s="60"/>
      <c r="E63" s="60"/>
      <c r="F63" s="60"/>
      <c r="G63" s="60"/>
      <c r="H63" s="60"/>
    </row>
    <row r="64" spans="1:8">
      <c r="A64" s="401"/>
      <c r="B64" s="398"/>
      <c r="C64" s="60"/>
      <c r="D64" s="60"/>
      <c r="E64" s="60"/>
      <c r="F64" s="60"/>
      <c r="G64" s="60"/>
      <c r="H64" s="60"/>
    </row>
    <row r="65" spans="1:8">
      <c r="A65" s="389"/>
      <c r="B65" s="398"/>
      <c r="C65" s="60"/>
      <c r="D65" s="60"/>
      <c r="E65" s="60"/>
      <c r="F65" s="60"/>
      <c r="G65" s="60"/>
      <c r="H65" s="60"/>
    </row>
    <row r="66" spans="1:8">
      <c r="A66" s="389"/>
      <c r="B66" s="398"/>
      <c r="C66" s="60"/>
      <c r="D66" s="60"/>
      <c r="E66" s="60"/>
      <c r="F66" s="60"/>
      <c r="G66" s="60"/>
      <c r="H66" s="60"/>
    </row>
    <row r="67" spans="1:8">
      <c r="A67" s="389"/>
      <c r="B67" s="398"/>
      <c r="C67" s="60"/>
      <c r="D67" s="60"/>
      <c r="E67" s="60"/>
      <c r="F67" s="60"/>
      <c r="G67" s="60"/>
      <c r="H67" s="60"/>
    </row>
    <row r="68" spans="1:8">
      <c r="A68" s="390"/>
      <c r="B68" s="398"/>
      <c r="C68" s="60"/>
      <c r="D68" s="60"/>
      <c r="E68" s="60"/>
      <c r="F68" s="60"/>
      <c r="G68" s="60"/>
      <c r="H68" s="60"/>
    </row>
    <row r="69" spans="1:8">
      <c r="A69" s="173"/>
      <c r="B69" s="173"/>
      <c r="C69" s="173"/>
      <c r="D69" s="173"/>
      <c r="E69" s="173"/>
      <c r="F69" s="173"/>
      <c r="G69" s="83"/>
      <c r="H69" s="83"/>
    </row>
    <row r="70" spans="1:8">
      <c r="A70" s="173"/>
      <c r="B70" s="173"/>
      <c r="C70" s="173"/>
      <c r="D70" s="173"/>
      <c r="E70" s="173"/>
      <c r="F70" s="173"/>
      <c r="G70" s="83"/>
      <c r="H70" s="83"/>
    </row>
    <row r="71" spans="1:8">
      <c r="A71" s="384" t="s">
        <v>404</v>
      </c>
      <c r="B71" s="173"/>
      <c r="C71" s="83"/>
      <c r="D71" s="83"/>
      <c r="E71" s="83"/>
      <c r="F71" s="83"/>
      <c r="G71" s="232"/>
      <c r="H71" s="232"/>
    </row>
    <row r="72" spans="1:8">
      <c r="A72" s="519" t="s">
        <v>403</v>
      </c>
      <c r="B72" s="520"/>
      <c r="C72" s="386">
        <f t="shared" ref="C72:H72" si="3">+C25</f>
        <v>2012</v>
      </c>
      <c r="D72" s="386">
        <f t="shared" si="3"/>
        <v>2013</v>
      </c>
      <c r="E72" s="386">
        <f t="shared" si="3"/>
        <v>2014</v>
      </c>
      <c r="F72" s="386">
        <f t="shared" si="3"/>
        <v>2015</v>
      </c>
      <c r="G72" s="386">
        <f t="shared" si="3"/>
        <v>2016</v>
      </c>
      <c r="H72" s="386">
        <f t="shared" si="3"/>
        <v>2017</v>
      </c>
    </row>
    <row r="73" spans="1:8">
      <c r="A73" s="387"/>
      <c r="B73" s="397"/>
      <c r="C73" s="388">
        <f t="shared" ref="C73:H73" si="4">+C37*C55</f>
        <v>0</v>
      </c>
      <c r="D73" s="388">
        <f t="shared" si="4"/>
        <v>0</v>
      </c>
      <c r="E73" s="388">
        <f t="shared" si="4"/>
        <v>0</v>
      </c>
      <c r="F73" s="388">
        <f t="shared" si="4"/>
        <v>0</v>
      </c>
      <c r="G73" s="388">
        <f t="shared" si="4"/>
        <v>0</v>
      </c>
      <c r="H73" s="388">
        <f t="shared" si="4"/>
        <v>0</v>
      </c>
    </row>
    <row r="74" spans="1:8">
      <c r="A74" s="401"/>
      <c r="B74" s="397"/>
      <c r="C74" s="388">
        <f t="shared" ref="C74:H86" si="5">+C38*C56</f>
        <v>0</v>
      </c>
      <c r="D74" s="388">
        <f t="shared" si="5"/>
        <v>0</v>
      </c>
      <c r="E74" s="388">
        <f t="shared" si="5"/>
        <v>0</v>
      </c>
      <c r="F74" s="388">
        <f t="shared" si="5"/>
        <v>0</v>
      </c>
      <c r="G74" s="388">
        <f t="shared" si="5"/>
        <v>0</v>
      </c>
      <c r="H74" s="388">
        <f t="shared" si="5"/>
        <v>0</v>
      </c>
    </row>
    <row r="75" spans="1:8">
      <c r="A75" s="401"/>
      <c r="B75" s="397"/>
      <c r="C75" s="388">
        <f t="shared" si="5"/>
        <v>0</v>
      </c>
      <c r="D75" s="388">
        <f t="shared" si="5"/>
        <v>0</v>
      </c>
      <c r="E75" s="388">
        <f t="shared" si="5"/>
        <v>0</v>
      </c>
      <c r="F75" s="388">
        <f t="shared" si="5"/>
        <v>0</v>
      </c>
      <c r="G75" s="388">
        <f t="shared" si="5"/>
        <v>0</v>
      </c>
      <c r="H75" s="388">
        <f t="shared" si="5"/>
        <v>0</v>
      </c>
    </row>
    <row r="76" spans="1:8">
      <c r="A76" s="401"/>
      <c r="B76" s="397"/>
      <c r="C76" s="388">
        <f t="shared" si="5"/>
        <v>0</v>
      </c>
      <c r="D76" s="388">
        <f t="shared" si="5"/>
        <v>0</v>
      </c>
      <c r="E76" s="388">
        <f t="shared" si="5"/>
        <v>0</v>
      </c>
      <c r="F76" s="388">
        <f t="shared" si="5"/>
        <v>0</v>
      </c>
      <c r="G76" s="388">
        <f t="shared" si="5"/>
        <v>0</v>
      </c>
      <c r="H76" s="388">
        <f t="shared" si="5"/>
        <v>0</v>
      </c>
    </row>
    <row r="77" spans="1:8">
      <c r="A77" s="401"/>
      <c r="B77" s="397"/>
      <c r="C77" s="388">
        <f t="shared" si="5"/>
        <v>0</v>
      </c>
      <c r="D77" s="388">
        <f t="shared" si="5"/>
        <v>0</v>
      </c>
      <c r="E77" s="388">
        <f t="shared" si="5"/>
        <v>0</v>
      </c>
      <c r="F77" s="388">
        <f t="shared" si="5"/>
        <v>0</v>
      </c>
      <c r="G77" s="388">
        <f t="shared" si="5"/>
        <v>0</v>
      </c>
      <c r="H77" s="388">
        <f t="shared" si="5"/>
        <v>0</v>
      </c>
    </row>
    <row r="78" spans="1:8">
      <c r="A78" s="401"/>
      <c r="B78" s="397"/>
      <c r="C78" s="388">
        <f t="shared" si="5"/>
        <v>0</v>
      </c>
      <c r="D78" s="388">
        <f t="shared" si="5"/>
        <v>0</v>
      </c>
      <c r="E78" s="388">
        <f t="shared" si="5"/>
        <v>0</v>
      </c>
      <c r="F78" s="388">
        <f t="shared" si="5"/>
        <v>0</v>
      </c>
      <c r="G78" s="388">
        <f t="shared" si="5"/>
        <v>0</v>
      </c>
      <c r="H78" s="388">
        <f t="shared" si="5"/>
        <v>0</v>
      </c>
    </row>
    <row r="79" spans="1:8">
      <c r="A79" s="401"/>
      <c r="B79" s="397"/>
      <c r="C79" s="388">
        <f t="shared" si="5"/>
        <v>0</v>
      </c>
      <c r="D79" s="388">
        <f t="shared" si="5"/>
        <v>0</v>
      </c>
      <c r="E79" s="388">
        <f t="shared" si="5"/>
        <v>0</v>
      </c>
      <c r="F79" s="388">
        <f t="shared" si="5"/>
        <v>0</v>
      </c>
      <c r="G79" s="388">
        <f t="shared" si="5"/>
        <v>0</v>
      </c>
      <c r="H79" s="388">
        <f t="shared" si="5"/>
        <v>0</v>
      </c>
    </row>
    <row r="80" spans="1:8">
      <c r="A80" s="401"/>
      <c r="B80" s="398"/>
      <c r="C80" s="388">
        <f t="shared" si="5"/>
        <v>0</v>
      </c>
      <c r="D80" s="388">
        <f t="shared" si="5"/>
        <v>0</v>
      </c>
      <c r="E80" s="388">
        <f t="shared" si="5"/>
        <v>0</v>
      </c>
      <c r="F80" s="388">
        <f t="shared" si="5"/>
        <v>0</v>
      </c>
      <c r="G80" s="388">
        <f t="shared" si="5"/>
        <v>0</v>
      </c>
      <c r="H80" s="388">
        <f t="shared" si="5"/>
        <v>0</v>
      </c>
    </row>
    <row r="81" spans="1:8">
      <c r="A81" s="401"/>
      <c r="B81" s="398"/>
      <c r="C81" s="388">
        <f t="shared" si="5"/>
        <v>0</v>
      </c>
      <c r="D81" s="388">
        <f t="shared" si="5"/>
        <v>0</v>
      </c>
      <c r="E81" s="388">
        <f t="shared" si="5"/>
        <v>0</v>
      </c>
      <c r="F81" s="388">
        <f t="shared" si="5"/>
        <v>0</v>
      </c>
      <c r="G81" s="388">
        <f t="shared" si="5"/>
        <v>0</v>
      </c>
      <c r="H81" s="388">
        <f t="shared" si="5"/>
        <v>0</v>
      </c>
    </row>
    <row r="82" spans="1:8">
      <c r="A82" s="401"/>
      <c r="B82" s="398"/>
      <c r="C82" s="388">
        <f t="shared" si="5"/>
        <v>0</v>
      </c>
      <c r="D82" s="388">
        <f t="shared" si="5"/>
        <v>0</v>
      </c>
      <c r="E82" s="388">
        <f t="shared" si="5"/>
        <v>0</v>
      </c>
      <c r="F82" s="388">
        <f t="shared" si="5"/>
        <v>0</v>
      </c>
      <c r="G82" s="388">
        <f t="shared" si="5"/>
        <v>0</v>
      </c>
      <c r="H82" s="388">
        <f t="shared" si="5"/>
        <v>0</v>
      </c>
    </row>
    <row r="83" spans="1:8">
      <c r="A83" s="389"/>
      <c r="B83" s="398"/>
      <c r="C83" s="388">
        <f t="shared" si="5"/>
        <v>0</v>
      </c>
      <c r="D83" s="388">
        <f t="shared" si="5"/>
        <v>0</v>
      </c>
      <c r="E83" s="388">
        <f t="shared" si="5"/>
        <v>0</v>
      </c>
      <c r="F83" s="388">
        <f t="shared" si="5"/>
        <v>0</v>
      </c>
      <c r="G83" s="388">
        <f t="shared" si="5"/>
        <v>0</v>
      </c>
      <c r="H83" s="388">
        <f t="shared" si="5"/>
        <v>0</v>
      </c>
    </row>
    <row r="84" spans="1:8">
      <c r="A84" s="389"/>
      <c r="B84" s="398"/>
      <c r="C84" s="388">
        <f t="shared" si="5"/>
        <v>0</v>
      </c>
      <c r="D84" s="388">
        <f t="shared" si="5"/>
        <v>0</v>
      </c>
      <c r="E84" s="388">
        <f t="shared" si="5"/>
        <v>0</v>
      </c>
      <c r="F84" s="388">
        <f t="shared" si="5"/>
        <v>0</v>
      </c>
      <c r="G84" s="388">
        <f t="shared" si="5"/>
        <v>0</v>
      </c>
      <c r="H84" s="388">
        <f t="shared" si="5"/>
        <v>0</v>
      </c>
    </row>
    <row r="85" spans="1:8">
      <c r="A85" s="389"/>
      <c r="B85" s="398"/>
      <c r="C85" s="388">
        <f t="shared" si="5"/>
        <v>0</v>
      </c>
      <c r="D85" s="388">
        <f t="shared" si="5"/>
        <v>0</v>
      </c>
      <c r="E85" s="388">
        <f t="shared" si="5"/>
        <v>0</v>
      </c>
      <c r="F85" s="388">
        <f t="shared" si="5"/>
        <v>0</v>
      </c>
      <c r="G85" s="388">
        <f t="shared" si="5"/>
        <v>0</v>
      </c>
      <c r="H85" s="388">
        <f t="shared" si="5"/>
        <v>0</v>
      </c>
    </row>
    <row r="86" spans="1:8">
      <c r="A86" s="390"/>
      <c r="B86" s="398"/>
      <c r="C86" s="388">
        <f t="shared" si="5"/>
        <v>0</v>
      </c>
      <c r="D86" s="388">
        <f t="shared" si="5"/>
        <v>0</v>
      </c>
      <c r="E86" s="388">
        <f t="shared" si="5"/>
        <v>0</v>
      </c>
      <c r="F86" s="388">
        <f t="shared" si="5"/>
        <v>0</v>
      </c>
      <c r="G86" s="388">
        <f t="shared" si="5"/>
        <v>0</v>
      </c>
      <c r="H86" s="388">
        <f t="shared" si="5"/>
        <v>0</v>
      </c>
    </row>
    <row r="87" spans="1:8">
      <c r="A87" s="519" t="s">
        <v>48</v>
      </c>
      <c r="B87" s="520"/>
      <c r="C87" s="399">
        <f t="shared" ref="C87:H87" si="6">+SUM(C73:C86)</f>
        <v>0</v>
      </c>
      <c r="D87" s="399">
        <f t="shared" si="6"/>
        <v>0</v>
      </c>
      <c r="E87" s="399">
        <f t="shared" si="6"/>
        <v>0</v>
      </c>
      <c r="F87" s="399">
        <f t="shared" si="6"/>
        <v>0</v>
      </c>
      <c r="G87" s="399">
        <f t="shared" si="6"/>
        <v>0</v>
      </c>
      <c r="H87" s="399">
        <f t="shared" si="6"/>
        <v>0</v>
      </c>
    </row>
    <row r="88" spans="1:8">
      <c r="A88" s="83"/>
      <c r="B88" s="83"/>
      <c r="C88" s="83"/>
      <c r="D88" s="83"/>
      <c r="E88" s="83"/>
      <c r="F88" s="83"/>
      <c r="G88" s="83"/>
      <c r="H88" s="83"/>
    </row>
    <row r="89" spans="1:8">
      <c r="A89" s="83"/>
      <c r="B89" s="83"/>
      <c r="C89" s="83"/>
      <c r="D89" s="83"/>
      <c r="E89" s="83"/>
      <c r="F89" s="83"/>
      <c r="G89" s="83"/>
      <c r="H89" s="83"/>
    </row>
    <row r="90" spans="1:8">
      <c r="A90" s="189" t="s">
        <v>405</v>
      </c>
      <c r="B90" s="83"/>
      <c r="C90" s="83"/>
      <c r="D90" s="83"/>
      <c r="E90" s="83"/>
      <c r="F90" s="83"/>
      <c r="G90" s="83"/>
      <c r="H90" s="83"/>
    </row>
    <row r="91" spans="1:8">
      <c r="A91" s="189" t="s">
        <v>406</v>
      </c>
      <c r="B91" s="83"/>
      <c r="C91" s="83"/>
      <c r="D91" s="83"/>
      <c r="E91" s="83"/>
      <c r="F91" s="83"/>
      <c r="G91" s="83"/>
      <c r="H91" s="83"/>
    </row>
  </sheetData>
  <mergeCells count="6">
    <mergeCell ref="A72:B72"/>
    <mergeCell ref="A87:B87"/>
    <mergeCell ref="A4:H4"/>
    <mergeCell ref="A33:B33"/>
    <mergeCell ref="A36:B36"/>
    <mergeCell ref="A54:B54"/>
  </mergeCells>
  <phoneticPr fontId="18" type="noConversion"/>
  <printOptions horizontalCentered="1"/>
  <pageMargins left="0.75" right="0.75" top="0.39370078740157483" bottom="0.39370078740157483" header="0.51181102362204722" footer="0.39370078740157483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topLeftCell="A26" zoomScaleNormal="100" workbookViewId="0">
      <selection activeCell="B31" sqref="B31"/>
    </sheetView>
  </sheetViews>
  <sheetFormatPr defaultColWidth="8.7109375" defaultRowHeight="12.75"/>
  <cols>
    <col min="1" max="1" width="34.28515625" style="22" bestFit="1" customWidth="1"/>
    <col min="2" max="3" width="15.7109375" style="22" customWidth="1"/>
    <col min="4" max="4" width="16.42578125" style="22" customWidth="1"/>
    <col min="5" max="5" width="13.7109375" style="22" customWidth="1"/>
    <col min="6" max="16384" width="8.7109375" style="22"/>
  </cols>
  <sheetData>
    <row r="1" spans="1:5" ht="13.5">
      <c r="A1" s="29"/>
      <c r="B1" s="30"/>
      <c r="C1" s="30"/>
      <c r="D1" s="49" t="s">
        <v>65</v>
      </c>
      <c r="E1" s="311" t="s">
        <v>423</v>
      </c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 ht="15.75">
      <c r="A4" s="449" t="s">
        <v>10</v>
      </c>
      <c r="B4" s="449"/>
      <c r="C4" s="449"/>
      <c r="D4" s="449"/>
      <c r="E4" s="449"/>
    </row>
    <row r="5" spans="1:5">
      <c r="A5" s="5"/>
      <c r="B5" s="5"/>
      <c r="C5" s="5"/>
      <c r="D5" s="5"/>
      <c r="E5" s="1"/>
    </row>
    <row r="6" spans="1:5" ht="15.75">
      <c r="A6" s="459" t="s">
        <v>221</v>
      </c>
      <c r="B6" s="459"/>
      <c r="C6" s="459"/>
      <c r="D6" s="459"/>
      <c r="E6" s="459"/>
    </row>
    <row r="7" spans="1:5">
      <c r="A7" s="5"/>
      <c r="B7" s="5"/>
      <c r="C7" s="5"/>
      <c r="D7" s="5"/>
      <c r="E7" s="1"/>
    </row>
    <row r="8" spans="1:5">
      <c r="A8" s="5"/>
      <c r="B8" s="5"/>
      <c r="C8" s="31"/>
      <c r="D8" s="32"/>
      <c r="E8" s="33"/>
    </row>
    <row r="9" spans="1:5">
      <c r="A9" s="6" t="s">
        <v>56</v>
      </c>
      <c r="B9" s="71" t="s">
        <v>219</v>
      </c>
      <c r="C9" s="31"/>
      <c r="D9" s="32"/>
      <c r="E9" s="33"/>
    </row>
    <row r="10" spans="1:5">
      <c r="A10" s="2"/>
      <c r="B10" s="67"/>
      <c r="C10" s="31"/>
      <c r="D10" s="32"/>
      <c r="E10" s="33"/>
    </row>
    <row r="11" spans="1:5">
      <c r="A11" s="6" t="s">
        <v>268</v>
      </c>
      <c r="B11" s="34">
        <v>2012</v>
      </c>
      <c r="C11" s="31"/>
      <c r="D11" s="32"/>
      <c r="E11" s="33"/>
    </row>
    <row r="12" spans="1:5">
      <c r="A12" s="2"/>
      <c r="B12" s="67"/>
      <c r="C12" s="31"/>
      <c r="D12" s="32"/>
      <c r="E12" s="33"/>
    </row>
    <row r="13" spans="1:5">
      <c r="A13" s="6" t="s">
        <v>178</v>
      </c>
      <c r="B13" s="34">
        <v>15</v>
      </c>
      <c r="C13" s="35">
        <f>+B13/30</f>
        <v>0.5</v>
      </c>
      <c r="D13" s="32"/>
      <c r="E13" s="33"/>
    </row>
    <row r="14" spans="1:5">
      <c r="A14" s="6" t="s">
        <v>179</v>
      </c>
      <c r="B14" s="36">
        <v>15</v>
      </c>
      <c r="C14" s="35">
        <f>+B14/30</f>
        <v>0.5</v>
      </c>
      <c r="D14" s="32"/>
      <c r="E14" s="33"/>
    </row>
    <row r="15" spans="1:5">
      <c r="A15" s="6" t="s">
        <v>180</v>
      </c>
      <c r="B15" s="36">
        <v>1</v>
      </c>
      <c r="C15" s="35">
        <f>+B15/30</f>
        <v>3.3333333333333333E-2</v>
      </c>
      <c r="D15" s="32"/>
      <c r="E15" s="33"/>
    </row>
    <row r="16" spans="1:5">
      <c r="A16" s="2"/>
      <c r="B16" s="67"/>
      <c r="C16" s="31"/>
      <c r="D16" s="32"/>
      <c r="E16" s="33"/>
    </row>
    <row r="17" spans="1:5">
      <c r="A17" s="6" t="s">
        <v>182</v>
      </c>
      <c r="B17" s="37">
        <v>0.23</v>
      </c>
      <c r="C17" s="38"/>
      <c r="D17" s="39"/>
      <c r="E17" s="40"/>
    </row>
    <row r="18" spans="1:5">
      <c r="A18" s="6" t="s">
        <v>183</v>
      </c>
      <c r="B18" s="37">
        <v>0.23</v>
      </c>
      <c r="C18" s="38"/>
      <c r="D18" s="39"/>
      <c r="E18" s="40"/>
    </row>
    <row r="19" spans="1:5">
      <c r="A19" s="6" t="s">
        <v>109</v>
      </c>
      <c r="B19" s="37">
        <v>0.23</v>
      </c>
      <c r="C19" s="41"/>
      <c r="D19" s="39"/>
      <c r="E19" s="40"/>
    </row>
    <row r="20" spans="1:5">
      <c r="A20" s="6" t="s">
        <v>110</v>
      </c>
      <c r="B20" s="37">
        <v>0.23</v>
      </c>
      <c r="C20" s="42"/>
      <c r="D20" s="39"/>
      <c r="E20" s="40"/>
    </row>
    <row r="21" spans="1:5">
      <c r="A21" s="6" t="s">
        <v>254</v>
      </c>
      <c r="B21" s="37">
        <v>0.23</v>
      </c>
      <c r="C21" s="69"/>
      <c r="D21" s="39"/>
      <c r="E21" s="40"/>
    </row>
    <row r="22" spans="1:5">
      <c r="A22" s="2"/>
      <c r="B22" s="67"/>
      <c r="C22" s="31"/>
      <c r="D22" s="32"/>
      <c r="E22" s="33"/>
    </row>
    <row r="23" spans="1:5">
      <c r="A23" s="6" t="s">
        <v>382</v>
      </c>
      <c r="B23" s="43">
        <v>0.21249999999999999</v>
      </c>
      <c r="C23" s="31"/>
      <c r="D23" s="32"/>
      <c r="E23" s="33"/>
    </row>
    <row r="24" spans="1:5">
      <c r="A24" s="6" t="s">
        <v>383</v>
      </c>
      <c r="B24" s="43">
        <v>0.23749999999999999</v>
      </c>
      <c r="C24" s="31"/>
      <c r="D24" s="32"/>
      <c r="E24" s="33"/>
    </row>
    <row r="25" spans="1:5">
      <c r="A25" s="6" t="s">
        <v>384</v>
      </c>
      <c r="B25" s="43">
        <v>0.1</v>
      </c>
      <c r="C25" s="31"/>
      <c r="D25" s="32"/>
      <c r="E25" s="33"/>
    </row>
    <row r="26" spans="1:5">
      <c r="A26" s="6" t="s">
        <v>385</v>
      </c>
      <c r="B26" s="43">
        <v>0.11</v>
      </c>
      <c r="C26" s="31"/>
      <c r="D26" s="32"/>
      <c r="E26" s="33"/>
    </row>
    <row r="27" spans="1: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</v>
      </c>
      <c r="C28" s="31"/>
      <c r="D28" s="32"/>
      <c r="E28" s="33"/>
    </row>
    <row r="29" spans="1:5">
      <c r="A29" s="2"/>
      <c r="B29" s="67"/>
      <c r="C29" s="31"/>
      <c r="D29" s="32"/>
      <c r="E29" s="33"/>
    </row>
    <row r="30" spans="1:5">
      <c r="A30" s="6" t="s">
        <v>243</v>
      </c>
      <c r="B30" s="43">
        <v>7.0000000000000001E-3</v>
      </c>
      <c r="C30" s="31"/>
      <c r="D30" s="32"/>
      <c r="E30" s="33"/>
    </row>
    <row r="31" spans="1:5">
      <c r="A31" s="6" t="s">
        <v>146</v>
      </c>
      <c r="B31" s="43">
        <f>1.6%+4%</f>
        <v>5.6000000000000001E-2</v>
      </c>
      <c r="C31" s="31"/>
      <c r="D31" s="32"/>
      <c r="E31" s="33"/>
    </row>
    <row r="32" spans="1:5">
      <c r="A32" s="6" t="s">
        <v>258</v>
      </c>
      <c r="B32" s="43">
        <f>1.6%+5%</f>
        <v>6.6000000000000003E-2</v>
      </c>
      <c r="C32" s="5"/>
      <c r="D32" s="32"/>
      <c r="E32" s="33"/>
    </row>
    <row r="33" spans="1:5">
      <c r="A33" s="5"/>
      <c r="B33" s="5"/>
      <c r="C33" s="31"/>
      <c r="D33" s="32"/>
      <c r="E33" s="33"/>
    </row>
    <row r="34" spans="1:5">
      <c r="A34" s="6" t="s">
        <v>147</v>
      </c>
      <c r="B34" s="44">
        <v>1.6E-2</v>
      </c>
      <c r="C34" s="450" t="s">
        <v>173</v>
      </c>
      <c r="D34" s="451"/>
      <c r="E34" s="452"/>
    </row>
    <row r="35" spans="1:5">
      <c r="A35" s="6" t="s">
        <v>175</v>
      </c>
      <c r="B35" s="44">
        <v>0.1</v>
      </c>
      <c r="C35" s="453" t="s">
        <v>174</v>
      </c>
      <c r="D35" s="454"/>
      <c r="E35" s="455"/>
    </row>
    <row r="36" spans="1:5">
      <c r="A36" s="6" t="s">
        <v>0</v>
      </c>
      <c r="B36" s="44">
        <v>1</v>
      </c>
      <c r="C36" s="45" t="s">
        <v>190</v>
      </c>
      <c r="D36" s="46"/>
      <c r="E36" s="47"/>
    </row>
    <row r="37" spans="1:5">
      <c r="A37" s="6" t="s">
        <v>194</v>
      </c>
      <c r="B37" s="48">
        <v>0.05</v>
      </c>
      <c r="C37" s="456" t="s">
        <v>172</v>
      </c>
      <c r="D37" s="457"/>
      <c r="E37" s="458"/>
    </row>
    <row r="38" spans="1:5">
      <c r="A38" s="5" t="s">
        <v>218</v>
      </c>
      <c r="B38" s="5"/>
      <c r="C38" s="31"/>
      <c r="D38" s="32"/>
      <c r="E38" s="33"/>
    </row>
    <row r="39" spans="1:5">
      <c r="A39" s="5"/>
      <c r="B39" s="5"/>
      <c r="C39" s="31"/>
      <c r="D39" s="32"/>
      <c r="E39" s="33"/>
    </row>
    <row r="40" spans="1:5">
      <c r="A40" s="8" t="s">
        <v>244</v>
      </c>
      <c r="B40" s="5"/>
      <c r="C40" s="31"/>
      <c r="D40" s="32"/>
      <c r="E40" s="33"/>
    </row>
    <row r="41" spans="1:5">
      <c r="A41" s="5"/>
      <c r="B41" s="5"/>
      <c r="C41" s="31"/>
      <c r="D41" s="32"/>
      <c r="E41" s="33"/>
    </row>
    <row r="42" spans="1:5">
      <c r="A42" s="4" t="s">
        <v>133</v>
      </c>
      <c r="B42" s="2"/>
      <c r="C42" s="69"/>
      <c r="D42" s="39"/>
      <c r="E42" s="40"/>
    </row>
    <row r="43" spans="1:5">
      <c r="A43" s="448" t="s">
        <v>245</v>
      </c>
      <c r="B43" s="448"/>
      <c r="C43" s="448"/>
      <c r="D43" s="448"/>
      <c r="E43" s="448"/>
    </row>
    <row r="44" spans="1:5">
      <c r="A44" s="448"/>
      <c r="B44" s="448"/>
      <c r="C44" s="448"/>
      <c r="D44" s="448"/>
      <c r="E44" s="448"/>
    </row>
    <row r="45" spans="1:5">
      <c r="A45" s="448"/>
      <c r="B45" s="448"/>
      <c r="C45" s="448"/>
      <c r="D45" s="448"/>
      <c r="E45" s="448"/>
    </row>
    <row r="46" spans="1:5">
      <c r="A46" s="448"/>
      <c r="B46" s="448"/>
      <c r="C46" s="448"/>
      <c r="D46" s="448"/>
      <c r="E46" s="448"/>
    </row>
    <row r="47" spans="1:5">
      <c r="A47" s="4" t="s">
        <v>247</v>
      </c>
      <c r="B47" s="2"/>
      <c r="C47" s="69"/>
      <c r="D47" s="39"/>
      <c r="E47" s="40"/>
    </row>
    <row r="48" spans="1:5">
      <c r="A48" s="448" t="s">
        <v>246</v>
      </c>
      <c r="B48" s="448"/>
      <c r="C48" s="448"/>
      <c r="D48" s="448"/>
      <c r="E48" s="448"/>
    </row>
    <row r="49" spans="1:18">
      <c r="A49" s="448"/>
      <c r="B49" s="448"/>
      <c r="C49" s="448"/>
      <c r="D49" s="448"/>
      <c r="E49" s="448"/>
    </row>
    <row r="50" spans="1:18">
      <c r="A50" s="448"/>
      <c r="B50" s="448"/>
      <c r="C50" s="448"/>
      <c r="D50" s="448"/>
      <c r="E50" s="448"/>
    </row>
    <row r="51" spans="1:18">
      <c r="A51" s="448"/>
      <c r="B51" s="448"/>
      <c r="C51" s="448"/>
      <c r="D51" s="448"/>
      <c r="E51" s="44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orientation="portrait" horizontalDpi="4294967293" verticalDpi="200" r:id="rId1"/>
  <headerFooter alignWithMargins="0">
    <oddFooter>&amp;C&amp;"Arial,Normal"&amp;8IAPMEI&amp;R&amp;"Arial,Normal"&amp;8&amp;N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topLeftCell="A28" zoomScaleNormal="100" workbookViewId="0">
      <selection activeCell="D41" sqref="D41"/>
    </sheetView>
  </sheetViews>
  <sheetFormatPr defaultColWidth="8.7109375" defaultRowHeight="13.5"/>
  <cols>
    <col min="1" max="1" width="37.5703125" style="76" customWidth="1"/>
    <col min="2" max="2" width="7.85546875" style="76" customWidth="1"/>
    <col min="3" max="14" width="11.42578125" style="76" customWidth="1"/>
    <col min="15" max="16384" width="8.7109375" style="76"/>
  </cols>
  <sheetData>
    <row r="1" spans="1:8" ht="14.2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Portugal OutofTrack</v>
      </c>
    </row>
    <row r="2" spans="1:8">
      <c r="A2" s="77" t="s">
        <v>181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>
      <c r="A3" s="77"/>
      <c r="B3" s="73"/>
      <c r="C3" s="73"/>
      <c r="D3" s="73"/>
      <c r="E3" s="73"/>
      <c r="F3" s="73"/>
      <c r="G3" s="73"/>
      <c r="H3" s="78"/>
    </row>
    <row r="4" spans="1:8" ht="16.5">
      <c r="A4" s="460" t="s">
        <v>278</v>
      </c>
      <c r="B4" s="460"/>
      <c r="C4" s="460"/>
      <c r="D4" s="460"/>
      <c r="E4" s="460"/>
      <c r="F4" s="460"/>
      <c r="G4" s="460"/>
      <c r="H4" s="460"/>
    </row>
    <row r="5" spans="1:8">
      <c r="A5" s="79"/>
      <c r="B5" s="79"/>
      <c r="C5" s="79"/>
      <c r="D5" s="79"/>
      <c r="E5" s="79"/>
      <c r="F5" s="79"/>
      <c r="G5" s="79"/>
      <c r="H5" s="79"/>
    </row>
    <row r="6" spans="1:8">
      <c r="A6" s="79"/>
      <c r="B6" s="79"/>
      <c r="C6" s="79"/>
      <c r="D6" s="79"/>
      <c r="E6" s="79"/>
      <c r="F6" s="79"/>
      <c r="G6" s="79"/>
      <c r="H6" s="79"/>
    </row>
    <row r="7" spans="1:8">
      <c r="A7" s="79"/>
      <c r="B7" s="79"/>
      <c r="C7" s="79"/>
      <c r="D7" s="79"/>
      <c r="E7" s="79"/>
      <c r="F7" s="79"/>
      <c r="G7" s="79"/>
      <c r="H7" s="79"/>
    </row>
    <row r="8" spans="1:8">
      <c r="A8" s="465"/>
      <c r="B8" s="465"/>
      <c r="C8" s="80">
        <f>+Pressupostos!B11</f>
        <v>2012</v>
      </c>
      <c r="D8" s="80">
        <f>+C8+1</f>
        <v>2013</v>
      </c>
      <c r="E8" s="80">
        <f>+D8+1</f>
        <v>2014</v>
      </c>
      <c r="F8" s="80">
        <f>+E8+1</f>
        <v>2015</v>
      </c>
      <c r="G8" s="80">
        <f>+F8+1</f>
        <v>2016</v>
      </c>
      <c r="H8" s="80">
        <f>+G8+1</f>
        <v>2017</v>
      </c>
    </row>
    <row r="9" spans="1:8">
      <c r="A9" s="81" t="s">
        <v>149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>
      <c r="A10" s="83"/>
      <c r="B10" s="83"/>
      <c r="C10" s="83"/>
      <c r="D10" s="83"/>
      <c r="E10" s="83"/>
      <c r="F10" s="83"/>
      <c r="G10" s="83"/>
      <c r="H10" s="83"/>
    </row>
    <row r="11" spans="1:8">
      <c r="A11" s="83"/>
      <c r="B11" s="83"/>
      <c r="C11" s="83"/>
      <c r="D11" s="83"/>
      <c r="E11" s="83"/>
      <c r="F11" s="83"/>
      <c r="G11" s="83"/>
      <c r="H11" s="83"/>
    </row>
    <row r="12" spans="1:8">
      <c r="A12" s="463" t="s">
        <v>184</v>
      </c>
      <c r="B12" s="464"/>
      <c r="C12" s="80">
        <f t="shared" ref="C12:H12" si="0">+C8</f>
        <v>2012</v>
      </c>
      <c r="D12" s="80">
        <f t="shared" si="0"/>
        <v>2013</v>
      </c>
      <c r="E12" s="80">
        <f t="shared" si="0"/>
        <v>2014</v>
      </c>
      <c r="F12" s="80">
        <f t="shared" si="0"/>
        <v>2015</v>
      </c>
      <c r="G12" s="80">
        <f t="shared" si="0"/>
        <v>2016</v>
      </c>
      <c r="H12" s="80">
        <f t="shared" si="0"/>
        <v>2017</v>
      </c>
    </row>
    <row r="13" spans="1:8">
      <c r="A13" s="466" t="s">
        <v>425</v>
      </c>
      <c r="B13" s="467"/>
      <c r="C13" s="314">
        <f t="shared" ref="C13:H13" si="1">+C16*C14</f>
        <v>5000</v>
      </c>
      <c r="D13" s="314">
        <f t="shared" si="1"/>
        <v>30000</v>
      </c>
      <c r="E13" s="314">
        <f t="shared" si="1"/>
        <v>75000</v>
      </c>
      <c r="F13" s="314">
        <f t="shared" si="1"/>
        <v>127500</v>
      </c>
      <c r="G13" s="314">
        <f t="shared" si="1"/>
        <v>180000</v>
      </c>
      <c r="H13" s="314">
        <f t="shared" si="1"/>
        <v>200000</v>
      </c>
    </row>
    <row r="14" spans="1:8">
      <c r="A14" s="84" t="s">
        <v>5</v>
      </c>
      <c r="B14" s="85"/>
      <c r="C14" s="315">
        <v>1</v>
      </c>
      <c r="D14" s="315">
        <v>5</v>
      </c>
      <c r="E14" s="315">
        <v>10</v>
      </c>
      <c r="F14" s="315">
        <v>15</v>
      </c>
      <c r="G14" s="315">
        <v>20</v>
      </c>
      <c r="H14" s="315">
        <v>20</v>
      </c>
    </row>
    <row r="15" spans="1:8">
      <c r="A15" s="84" t="s">
        <v>80</v>
      </c>
      <c r="B15" s="85"/>
      <c r="C15" s="317"/>
      <c r="D15" s="318"/>
      <c r="E15" s="318">
        <f>+E14/D14</f>
        <v>2</v>
      </c>
      <c r="F15" s="318">
        <f>+F14/E14</f>
        <v>1.5</v>
      </c>
      <c r="G15" s="318">
        <f>+G14/F14</f>
        <v>1.3333333333333333</v>
      </c>
      <c r="H15" s="318">
        <f>+H14/G14</f>
        <v>1</v>
      </c>
    </row>
    <row r="16" spans="1:8">
      <c r="A16" s="84" t="s">
        <v>6</v>
      </c>
      <c r="B16" s="85"/>
      <c r="C16" s="319">
        <v>5000</v>
      </c>
      <c r="D16" s="320">
        <v>6000</v>
      </c>
      <c r="E16" s="320">
        <v>7500</v>
      </c>
      <c r="F16" s="320">
        <v>8500</v>
      </c>
      <c r="G16" s="320">
        <v>9000</v>
      </c>
      <c r="H16" s="320">
        <v>10000</v>
      </c>
    </row>
    <row r="17" spans="1:8">
      <c r="A17" s="466" t="s">
        <v>427</v>
      </c>
      <c r="B17" s="467"/>
      <c r="C17" s="314">
        <f t="shared" ref="C17:H17" si="2">+C20*C18</f>
        <v>25</v>
      </c>
      <c r="D17" s="314">
        <f t="shared" si="2"/>
        <v>0</v>
      </c>
      <c r="E17" s="314">
        <f t="shared" si="2"/>
        <v>325</v>
      </c>
      <c r="F17" s="314">
        <f t="shared" si="2"/>
        <v>525</v>
      </c>
      <c r="G17" s="314">
        <f t="shared" si="2"/>
        <v>700</v>
      </c>
      <c r="H17" s="314">
        <f t="shared" si="2"/>
        <v>700</v>
      </c>
    </row>
    <row r="18" spans="1:8">
      <c r="A18" s="84" t="s">
        <v>5</v>
      </c>
      <c r="B18" s="85"/>
      <c r="C18" s="315">
        <f t="shared" ref="C18:H18" si="3">+C14*0.5</f>
        <v>0.5</v>
      </c>
      <c r="D18" s="315">
        <f t="shared" si="3"/>
        <v>2.5</v>
      </c>
      <c r="E18" s="315">
        <f t="shared" si="3"/>
        <v>5</v>
      </c>
      <c r="F18" s="315">
        <f t="shared" si="3"/>
        <v>7.5</v>
      </c>
      <c r="G18" s="315">
        <f t="shared" si="3"/>
        <v>10</v>
      </c>
      <c r="H18" s="315">
        <f t="shared" si="3"/>
        <v>10</v>
      </c>
    </row>
    <row r="19" spans="1:8">
      <c r="A19" s="84" t="s">
        <v>80</v>
      </c>
      <c r="B19" s="85"/>
      <c r="C19" s="317"/>
      <c r="D19" s="318"/>
      <c r="E19" s="318">
        <f>+E18/D18</f>
        <v>2</v>
      </c>
      <c r="F19" s="318">
        <f>+F18/E18</f>
        <v>1.5</v>
      </c>
      <c r="G19" s="318">
        <f>+G18/F18</f>
        <v>1.3333333333333333</v>
      </c>
      <c r="H19" s="318">
        <f>+H18/G18</f>
        <v>1</v>
      </c>
    </row>
    <row r="20" spans="1:8">
      <c r="A20" s="84" t="s">
        <v>6</v>
      </c>
      <c r="B20" s="85"/>
      <c r="C20" s="319">
        <f>500*0.1</f>
        <v>50</v>
      </c>
      <c r="D20" s="319">
        <v>0</v>
      </c>
      <c r="E20" s="319">
        <v>65</v>
      </c>
      <c r="F20" s="319">
        <v>70</v>
      </c>
      <c r="G20" s="319">
        <v>70</v>
      </c>
      <c r="H20" s="319">
        <v>70</v>
      </c>
    </row>
    <row r="21" spans="1:8">
      <c r="A21" s="466"/>
      <c r="B21" s="467"/>
      <c r="C21" s="314">
        <f t="shared" ref="C21:H21" si="4">+C24*C22</f>
        <v>0</v>
      </c>
      <c r="D21" s="314">
        <f t="shared" si="4"/>
        <v>0</v>
      </c>
      <c r="E21" s="314">
        <f t="shared" si="4"/>
        <v>0</v>
      </c>
      <c r="F21" s="314">
        <f t="shared" si="4"/>
        <v>0</v>
      </c>
      <c r="G21" s="314">
        <f t="shared" si="4"/>
        <v>0</v>
      </c>
      <c r="H21" s="314">
        <f t="shared" si="4"/>
        <v>0</v>
      </c>
    </row>
    <row r="22" spans="1:8">
      <c r="A22" s="84" t="s">
        <v>5</v>
      </c>
      <c r="B22" s="85"/>
      <c r="C22" s="315"/>
      <c r="D22" s="315"/>
      <c r="E22" s="315"/>
      <c r="F22" s="315"/>
      <c r="G22" s="315"/>
      <c r="H22" s="315"/>
    </row>
    <row r="23" spans="1:8">
      <c r="A23" s="84" t="s">
        <v>80</v>
      </c>
      <c r="B23" s="85"/>
      <c r="C23" s="317"/>
      <c r="D23" s="317"/>
      <c r="E23" s="317"/>
      <c r="F23" s="317"/>
      <c r="G23" s="317"/>
      <c r="H23" s="317"/>
    </row>
    <row r="24" spans="1:8">
      <c r="A24" s="84" t="s">
        <v>6</v>
      </c>
      <c r="B24" s="85"/>
      <c r="C24" s="319"/>
      <c r="D24" s="320"/>
      <c r="E24" s="320"/>
      <c r="F24" s="320"/>
      <c r="G24" s="320"/>
      <c r="H24" s="320"/>
    </row>
    <row r="25" spans="1:8">
      <c r="A25" s="466"/>
      <c r="B25" s="467"/>
      <c r="C25" s="314"/>
      <c r="D25" s="314"/>
      <c r="E25" s="314"/>
      <c r="F25" s="314"/>
      <c r="G25" s="314"/>
      <c r="H25" s="314"/>
    </row>
    <row r="26" spans="1:8">
      <c r="A26" s="84" t="s">
        <v>5</v>
      </c>
      <c r="B26" s="85"/>
      <c r="C26" s="315"/>
      <c r="D26" s="316"/>
      <c r="E26" s="316"/>
      <c r="F26" s="316"/>
      <c r="G26" s="316"/>
      <c r="H26" s="316"/>
    </row>
    <row r="27" spans="1:8">
      <c r="A27" s="84" t="s">
        <v>80</v>
      </c>
      <c r="B27" s="85"/>
      <c r="C27" s="317"/>
      <c r="D27" s="317"/>
      <c r="E27" s="317"/>
      <c r="F27" s="317"/>
      <c r="G27" s="317"/>
      <c r="H27" s="317"/>
    </row>
    <row r="28" spans="1:8">
      <c r="A28" s="84" t="s">
        <v>6</v>
      </c>
      <c r="B28" s="85"/>
      <c r="C28" s="319"/>
      <c r="D28" s="320"/>
      <c r="E28" s="320"/>
      <c r="F28" s="320"/>
      <c r="G28" s="320"/>
      <c r="H28" s="320"/>
    </row>
    <row r="29" spans="1:8" ht="14.25" thickBot="1">
      <c r="A29" s="461" t="s">
        <v>96</v>
      </c>
      <c r="B29" s="462"/>
      <c r="C29" s="56">
        <f t="shared" ref="C29:H29" si="5">+C13+C17+C21+C25</f>
        <v>5025</v>
      </c>
      <c r="D29" s="56">
        <f t="shared" si="5"/>
        <v>30000</v>
      </c>
      <c r="E29" s="56">
        <f t="shared" si="5"/>
        <v>75325</v>
      </c>
      <c r="F29" s="56">
        <f t="shared" si="5"/>
        <v>128025</v>
      </c>
      <c r="G29" s="56">
        <f t="shared" si="5"/>
        <v>180700</v>
      </c>
      <c r="H29" s="56">
        <f t="shared" si="5"/>
        <v>200700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>
      <c r="A31" s="86"/>
      <c r="B31" s="86"/>
      <c r="C31" s="87"/>
      <c r="D31" s="87"/>
      <c r="E31" s="87"/>
      <c r="F31" s="87"/>
      <c r="G31" s="87"/>
      <c r="H31" s="87"/>
    </row>
    <row r="32" spans="1:8">
      <c r="A32" s="469" t="s">
        <v>185</v>
      </c>
      <c r="B32" s="469"/>
      <c r="C32" s="80">
        <f t="shared" ref="C32:H32" si="6">+C8</f>
        <v>2012</v>
      </c>
      <c r="D32" s="80">
        <f t="shared" si="6"/>
        <v>2013</v>
      </c>
      <c r="E32" s="80">
        <f t="shared" si="6"/>
        <v>2014</v>
      </c>
      <c r="F32" s="80">
        <f t="shared" si="6"/>
        <v>2015</v>
      </c>
      <c r="G32" s="80">
        <f t="shared" si="6"/>
        <v>2016</v>
      </c>
      <c r="H32" s="80">
        <f t="shared" si="6"/>
        <v>2017</v>
      </c>
    </row>
    <row r="33" spans="1:10">
      <c r="A33" s="466" t="s">
        <v>426</v>
      </c>
      <c r="B33" s="467"/>
      <c r="C33" s="314">
        <f t="shared" ref="C33:H33" si="7">+C36*C34</f>
        <v>10000</v>
      </c>
      <c r="D33" s="314">
        <f t="shared" si="7"/>
        <v>150000</v>
      </c>
      <c r="E33" s="314">
        <f t="shared" si="7"/>
        <v>300000</v>
      </c>
      <c r="F33" s="314">
        <f t="shared" si="7"/>
        <v>425000</v>
      </c>
      <c r="G33" s="314">
        <f t="shared" si="7"/>
        <v>540000</v>
      </c>
      <c r="H33" s="314">
        <f t="shared" si="7"/>
        <v>700000</v>
      </c>
    </row>
    <row r="34" spans="1:10">
      <c r="A34" s="84" t="s">
        <v>5</v>
      </c>
      <c r="B34" s="85"/>
      <c r="C34" s="315">
        <v>2</v>
      </c>
      <c r="D34" s="315">
        <v>25</v>
      </c>
      <c r="E34" s="315">
        <v>40</v>
      </c>
      <c r="F34" s="315">
        <v>50</v>
      </c>
      <c r="G34" s="315">
        <v>60</v>
      </c>
      <c r="H34" s="315">
        <v>70</v>
      </c>
    </row>
    <row r="35" spans="1:10">
      <c r="A35" s="84" t="s">
        <v>80</v>
      </c>
      <c r="B35" s="85"/>
      <c r="C35" s="317"/>
      <c r="D35" s="318"/>
      <c r="E35" s="318">
        <f>+E34/D34</f>
        <v>1.6</v>
      </c>
      <c r="F35" s="318">
        <f>+F34/E34</f>
        <v>1.25</v>
      </c>
      <c r="G35" s="318">
        <f>+G34/F34</f>
        <v>1.2</v>
      </c>
      <c r="H35" s="318">
        <f>+H34/G34</f>
        <v>1.1666666666666667</v>
      </c>
    </row>
    <row r="36" spans="1:10">
      <c r="A36" s="84" t="s">
        <v>6</v>
      </c>
      <c r="B36" s="85"/>
      <c r="C36" s="319">
        <v>5000</v>
      </c>
      <c r="D36" s="320">
        <v>6000</v>
      </c>
      <c r="E36" s="320">
        <v>7500</v>
      </c>
      <c r="F36" s="320">
        <v>8500</v>
      </c>
      <c r="G36" s="320">
        <v>9000</v>
      </c>
      <c r="H36" s="320">
        <v>10000</v>
      </c>
    </row>
    <row r="37" spans="1:10">
      <c r="A37" s="466" t="s">
        <v>424</v>
      </c>
      <c r="B37" s="467"/>
      <c r="C37" s="314">
        <f t="shared" ref="C37:H37" si="8">+C40*C38</f>
        <v>50</v>
      </c>
      <c r="D37" s="314">
        <f t="shared" si="8"/>
        <v>687.5</v>
      </c>
      <c r="E37" s="314">
        <f t="shared" si="8"/>
        <v>1300</v>
      </c>
      <c r="F37" s="314">
        <f t="shared" si="8"/>
        <v>1750</v>
      </c>
      <c r="G37" s="314">
        <f t="shared" si="8"/>
        <v>2100</v>
      </c>
      <c r="H37" s="314">
        <f t="shared" si="8"/>
        <v>2450</v>
      </c>
    </row>
    <row r="38" spans="1:10">
      <c r="A38" s="84" t="s">
        <v>5</v>
      </c>
      <c r="B38" s="85"/>
      <c r="C38" s="315">
        <f t="shared" ref="C38:H38" si="9">+C34*0.5</f>
        <v>1</v>
      </c>
      <c r="D38" s="315">
        <f t="shared" si="9"/>
        <v>12.5</v>
      </c>
      <c r="E38" s="315">
        <f t="shared" si="9"/>
        <v>20</v>
      </c>
      <c r="F38" s="315">
        <f t="shared" si="9"/>
        <v>25</v>
      </c>
      <c r="G38" s="315">
        <f t="shared" si="9"/>
        <v>30</v>
      </c>
      <c r="H38" s="315">
        <f t="shared" si="9"/>
        <v>35</v>
      </c>
    </row>
    <row r="39" spans="1:10">
      <c r="A39" s="84" t="s">
        <v>80</v>
      </c>
      <c r="B39" s="85"/>
      <c r="C39" s="317"/>
      <c r="D39" s="318"/>
      <c r="E39" s="318">
        <f>+E38/D38</f>
        <v>1.6</v>
      </c>
      <c r="F39" s="318">
        <f>+F38/E38</f>
        <v>1.25</v>
      </c>
      <c r="G39" s="318">
        <f>+G38/F38</f>
        <v>1.2</v>
      </c>
      <c r="H39" s="318">
        <f>+H38/G38</f>
        <v>1.1666666666666667</v>
      </c>
    </row>
    <row r="40" spans="1:10">
      <c r="A40" s="84" t="s">
        <v>6</v>
      </c>
      <c r="B40" s="85"/>
      <c r="C40" s="319">
        <f>500*0.1</f>
        <v>50</v>
      </c>
      <c r="D40" s="319">
        <v>55</v>
      </c>
      <c r="E40" s="319">
        <v>65</v>
      </c>
      <c r="F40" s="319">
        <v>70</v>
      </c>
      <c r="G40" s="319">
        <v>70</v>
      </c>
      <c r="H40" s="319">
        <v>70</v>
      </c>
    </row>
    <row r="41" spans="1:10" ht="14.25" thickBot="1">
      <c r="A41" s="471" t="s">
        <v>96</v>
      </c>
      <c r="B41" s="471"/>
      <c r="C41" s="56">
        <f t="shared" ref="C41:H41" si="10">+C33+C37</f>
        <v>10050</v>
      </c>
      <c r="D41" s="56">
        <f t="shared" si="10"/>
        <v>150687.5</v>
      </c>
      <c r="E41" s="56">
        <f t="shared" si="10"/>
        <v>301300</v>
      </c>
      <c r="F41" s="56">
        <f t="shared" si="10"/>
        <v>426750</v>
      </c>
      <c r="G41" s="56">
        <f t="shared" si="10"/>
        <v>542100</v>
      </c>
      <c r="H41" s="56">
        <f t="shared" si="10"/>
        <v>702450</v>
      </c>
    </row>
    <row r="42" spans="1:10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>
      <c r="A43" s="90" t="s">
        <v>151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>
      <c r="A45" s="469" t="s">
        <v>279</v>
      </c>
      <c r="B45" s="469"/>
      <c r="C45" s="80">
        <f t="shared" ref="C45:H45" si="11">+C8</f>
        <v>2012</v>
      </c>
      <c r="D45" s="80">
        <f t="shared" si="11"/>
        <v>2013</v>
      </c>
      <c r="E45" s="80">
        <f t="shared" si="11"/>
        <v>2014</v>
      </c>
      <c r="F45" s="80">
        <f t="shared" si="11"/>
        <v>2015</v>
      </c>
      <c r="G45" s="80">
        <f t="shared" si="11"/>
        <v>2016</v>
      </c>
      <c r="H45" s="80">
        <f t="shared" si="11"/>
        <v>2017</v>
      </c>
      <c r="I45" s="93"/>
      <c r="J45" s="93"/>
    </row>
    <row r="46" spans="1:10">
      <c r="A46" s="466" t="s">
        <v>76</v>
      </c>
      <c r="B46" s="467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>
      <c r="A47" s="84" t="s">
        <v>249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>
      <c r="A48" s="466" t="s">
        <v>77</v>
      </c>
      <c r="B48" s="467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>
      <c r="A49" s="84" t="s">
        <v>249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>
      <c r="A50" s="466" t="s">
        <v>78</v>
      </c>
      <c r="B50" s="467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>
      <c r="A51" s="84" t="s">
        <v>249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>
      <c r="A52" s="466" t="s">
        <v>79</v>
      </c>
      <c r="B52" s="467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>
      <c r="A53" s="84" t="s">
        <v>249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10" ht="14.25" thickBot="1">
      <c r="A54" s="471" t="s">
        <v>96</v>
      </c>
      <c r="B54" s="471"/>
      <c r="C54" s="56">
        <f t="shared" ref="C54:H54" si="12">+C46+C48+C50+C52</f>
        <v>0</v>
      </c>
      <c r="D54" s="56">
        <f t="shared" si="12"/>
        <v>0</v>
      </c>
      <c r="E54" s="56">
        <f t="shared" si="12"/>
        <v>0</v>
      </c>
      <c r="F54" s="56">
        <f t="shared" si="12"/>
        <v>0</v>
      </c>
      <c r="G54" s="56">
        <f t="shared" si="12"/>
        <v>0</v>
      </c>
      <c r="H54" s="56">
        <f t="shared" si="12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>
      <c r="A57" s="469" t="s">
        <v>280</v>
      </c>
      <c r="B57" s="469"/>
      <c r="C57" s="97">
        <f t="shared" ref="C57:H57" si="13">+C8</f>
        <v>2012</v>
      </c>
      <c r="D57" s="97">
        <f t="shared" si="13"/>
        <v>2013</v>
      </c>
      <c r="E57" s="97">
        <f t="shared" si="13"/>
        <v>2014</v>
      </c>
      <c r="F57" s="97">
        <f t="shared" si="13"/>
        <v>2015</v>
      </c>
      <c r="G57" s="97">
        <f t="shared" si="13"/>
        <v>2016</v>
      </c>
      <c r="H57" s="97">
        <f t="shared" si="13"/>
        <v>2017</v>
      </c>
      <c r="I57" s="93"/>
      <c r="J57" s="93"/>
    </row>
    <row r="58" spans="1:10">
      <c r="A58" s="466" t="s">
        <v>76</v>
      </c>
      <c r="B58" s="467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>
      <c r="A59" s="84" t="s">
        <v>249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>
      <c r="A60" s="466" t="s">
        <v>77</v>
      </c>
      <c r="B60" s="467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>
      <c r="A61" s="84" t="s">
        <v>249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>
      <c r="A62" s="466" t="s">
        <v>78</v>
      </c>
      <c r="B62" s="467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>
      <c r="A63" s="84" t="s">
        <v>249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>
      <c r="A64" s="466" t="s">
        <v>79</v>
      </c>
      <c r="B64" s="467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>
      <c r="A65" s="84" t="s">
        <v>249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10" ht="14.25" thickBot="1">
      <c r="A66" s="471" t="s">
        <v>96</v>
      </c>
      <c r="B66" s="471"/>
      <c r="C66" s="56">
        <f t="shared" ref="C66:H66" si="14">+C58+C60+C62+C64</f>
        <v>0</v>
      </c>
      <c r="D66" s="56">
        <f t="shared" si="14"/>
        <v>0</v>
      </c>
      <c r="E66" s="56">
        <f t="shared" si="14"/>
        <v>0</v>
      </c>
      <c r="F66" s="56">
        <f t="shared" si="14"/>
        <v>0</v>
      </c>
      <c r="G66" s="56">
        <f t="shared" si="14"/>
        <v>0</v>
      </c>
      <c r="H66" s="56">
        <f t="shared" si="14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>
      <c r="A69" s="470" t="s">
        <v>186</v>
      </c>
      <c r="B69" s="470"/>
      <c r="C69" s="98">
        <f t="shared" ref="C69:H69" si="15">+C29</f>
        <v>5025</v>
      </c>
      <c r="D69" s="98">
        <f t="shared" si="15"/>
        <v>30000</v>
      </c>
      <c r="E69" s="98">
        <f t="shared" si="15"/>
        <v>75325</v>
      </c>
      <c r="F69" s="98">
        <f t="shared" si="15"/>
        <v>128025</v>
      </c>
      <c r="G69" s="98">
        <f t="shared" si="15"/>
        <v>180700</v>
      </c>
      <c r="H69" s="98">
        <f t="shared" si="15"/>
        <v>200700</v>
      </c>
      <c r="I69" s="93"/>
      <c r="J69" s="93"/>
    </row>
    <row r="70" spans="1:10">
      <c r="A70" s="470" t="s">
        <v>187</v>
      </c>
      <c r="B70" s="470"/>
      <c r="C70" s="98">
        <f t="shared" ref="C70:H70" si="16">+C41</f>
        <v>10050</v>
      </c>
      <c r="D70" s="98">
        <f t="shared" si="16"/>
        <v>150687.5</v>
      </c>
      <c r="E70" s="98">
        <f t="shared" si="16"/>
        <v>301300</v>
      </c>
      <c r="F70" s="98">
        <f t="shared" si="16"/>
        <v>426750</v>
      </c>
      <c r="G70" s="98">
        <f t="shared" si="16"/>
        <v>542100</v>
      </c>
      <c r="H70" s="98">
        <f t="shared" si="16"/>
        <v>702450</v>
      </c>
      <c r="I70" s="93"/>
      <c r="J70" s="93"/>
    </row>
    <row r="71" spans="1:10">
      <c r="A71" s="470" t="s">
        <v>66</v>
      </c>
      <c r="B71" s="470"/>
      <c r="C71" s="105">
        <f t="shared" ref="C71:H71" si="17">+C69+C70</f>
        <v>15075</v>
      </c>
      <c r="D71" s="105">
        <f t="shared" si="17"/>
        <v>180687.5</v>
      </c>
      <c r="E71" s="105">
        <f t="shared" si="17"/>
        <v>376625</v>
      </c>
      <c r="F71" s="105">
        <f t="shared" si="17"/>
        <v>554775</v>
      </c>
      <c r="G71" s="105">
        <f t="shared" si="17"/>
        <v>722800</v>
      </c>
      <c r="H71" s="105">
        <f t="shared" si="17"/>
        <v>903150</v>
      </c>
      <c r="I71" s="93"/>
      <c r="J71" s="93"/>
    </row>
    <row r="72" spans="1:10" ht="14.25" thickBot="1">
      <c r="A72" s="99" t="s">
        <v>150</v>
      </c>
      <c r="B72" s="106">
        <f>+Pressupostos!B17</f>
        <v>0.23</v>
      </c>
      <c r="C72" s="56">
        <f t="shared" ref="C72:H72" si="18">+C69*$B$72</f>
        <v>1155.75</v>
      </c>
      <c r="D72" s="56">
        <f t="shared" si="18"/>
        <v>6900</v>
      </c>
      <c r="E72" s="56">
        <f t="shared" si="18"/>
        <v>17324.75</v>
      </c>
      <c r="F72" s="56">
        <f t="shared" si="18"/>
        <v>29445.75</v>
      </c>
      <c r="G72" s="56">
        <f t="shared" si="18"/>
        <v>41561</v>
      </c>
      <c r="H72" s="56">
        <f t="shared" si="18"/>
        <v>46161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>
      <c r="A75" s="470" t="s">
        <v>281</v>
      </c>
      <c r="B75" s="470"/>
      <c r="C75" s="98">
        <f t="shared" ref="C75:H75" si="19">+C54</f>
        <v>0</v>
      </c>
      <c r="D75" s="98">
        <f t="shared" si="19"/>
        <v>0</v>
      </c>
      <c r="E75" s="98">
        <f t="shared" si="19"/>
        <v>0</v>
      </c>
      <c r="F75" s="98">
        <f t="shared" si="19"/>
        <v>0</v>
      </c>
      <c r="G75" s="98">
        <f t="shared" si="19"/>
        <v>0</v>
      </c>
      <c r="H75" s="98">
        <f t="shared" si="19"/>
        <v>0</v>
      </c>
      <c r="I75" s="93"/>
      <c r="J75" s="93"/>
    </row>
    <row r="76" spans="1:10">
      <c r="A76" s="470" t="s">
        <v>282</v>
      </c>
      <c r="B76" s="470"/>
      <c r="C76" s="98">
        <f t="shared" ref="C76:H76" si="20">+C66</f>
        <v>0</v>
      </c>
      <c r="D76" s="98">
        <f t="shared" si="20"/>
        <v>0</v>
      </c>
      <c r="E76" s="98">
        <f t="shared" si="20"/>
        <v>0</v>
      </c>
      <c r="F76" s="98">
        <f t="shared" si="20"/>
        <v>0</v>
      </c>
      <c r="G76" s="98">
        <f t="shared" si="20"/>
        <v>0</v>
      </c>
      <c r="H76" s="98">
        <f t="shared" si="20"/>
        <v>0</v>
      </c>
      <c r="I76" s="93"/>
      <c r="J76" s="93"/>
    </row>
    <row r="77" spans="1:10">
      <c r="A77" s="470" t="s">
        <v>188</v>
      </c>
      <c r="B77" s="470"/>
      <c r="C77" s="105">
        <f t="shared" ref="C77:H77" si="21">+C75+C76</f>
        <v>0</v>
      </c>
      <c r="D77" s="105">
        <f t="shared" si="21"/>
        <v>0</v>
      </c>
      <c r="E77" s="105">
        <f t="shared" si="21"/>
        <v>0</v>
      </c>
      <c r="F77" s="105">
        <f t="shared" si="21"/>
        <v>0</v>
      </c>
      <c r="G77" s="105">
        <f t="shared" si="21"/>
        <v>0</v>
      </c>
      <c r="H77" s="105">
        <f t="shared" si="21"/>
        <v>0</v>
      </c>
      <c r="I77" s="93"/>
      <c r="J77" s="93"/>
    </row>
    <row r="78" spans="1:10" ht="14.25" thickBot="1">
      <c r="A78" s="99" t="s">
        <v>283</v>
      </c>
      <c r="B78" s="106">
        <f>+Pressupostos!B18</f>
        <v>0.23</v>
      </c>
      <c r="C78" s="56">
        <f t="shared" ref="C78:H78" si="22">+C75*$B$78</f>
        <v>0</v>
      </c>
      <c r="D78" s="56">
        <f t="shared" si="22"/>
        <v>0</v>
      </c>
      <c r="E78" s="56">
        <f t="shared" si="22"/>
        <v>0</v>
      </c>
      <c r="F78" s="56">
        <f t="shared" si="22"/>
        <v>0</v>
      </c>
      <c r="G78" s="56">
        <f t="shared" si="22"/>
        <v>0</v>
      </c>
      <c r="H78" s="56">
        <f t="shared" si="22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68" t="s">
        <v>67</v>
      </c>
      <c r="B80" s="468"/>
      <c r="C80" s="56">
        <f t="shared" ref="C80:H80" si="23">+C71+C77</f>
        <v>15075</v>
      </c>
      <c r="D80" s="56">
        <f t="shared" si="23"/>
        <v>180687.5</v>
      </c>
      <c r="E80" s="56">
        <f t="shared" si="23"/>
        <v>376625</v>
      </c>
      <c r="F80" s="56">
        <f t="shared" si="23"/>
        <v>554775</v>
      </c>
      <c r="G80" s="56">
        <f t="shared" si="23"/>
        <v>722800</v>
      </c>
      <c r="H80" s="56">
        <f t="shared" si="23"/>
        <v>903150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68" t="s">
        <v>64</v>
      </c>
      <c r="B82" s="468"/>
      <c r="C82" s="56">
        <f t="shared" ref="C82:H82" si="24">+C72+C78</f>
        <v>1155.75</v>
      </c>
      <c r="D82" s="56">
        <f t="shared" si="24"/>
        <v>6900</v>
      </c>
      <c r="E82" s="56">
        <f t="shared" si="24"/>
        <v>17324.75</v>
      </c>
      <c r="F82" s="56">
        <f t="shared" si="24"/>
        <v>29445.75</v>
      </c>
      <c r="G82" s="56">
        <f t="shared" si="24"/>
        <v>41561</v>
      </c>
      <c r="H82" s="56">
        <f t="shared" si="24"/>
        <v>46161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68" t="s">
        <v>71</v>
      </c>
      <c r="B84" s="468"/>
      <c r="C84" s="56">
        <f t="shared" ref="C84:H84" si="25">+C80+C82</f>
        <v>16230.75</v>
      </c>
      <c r="D84" s="56">
        <f t="shared" si="25"/>
        <v>187587.5</v>
      </c>
      <c r="E84" s="56">
        <f t="shared" si="25"/>
        <v>393949.75</v>
      </c>
      <c r="F84" s="56">
        <f t="shared" si="25"/>
        <v>584220.75</v>
      </c>
      <c r="G84" s="56">
        <f t="shared" si="25"/>
        <v>764361</v>
      </c>
      <c r="H84" s="56">
        <f t="shared" si="25"/>
        <v>949311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338</v>
      </c>
      <c r="B87" s="65"/>
      <c r="C87" s="56">
        <f t="shared" ref="C87:H87" si="26">+$B$87*C84</f>
        <v>0</v>
      </c>
      <c r="D87" s="56">
        <f t="shared" si="26"/>
        <v>0</v>
      </c>
      <c r="E87" s="56">
        <f t="shared" si="26"/>
        <v>0</v>
      </c>
      <c r="F87" s="56">
        <f t="shared" si="26"/>
        <v>0</v>
      </c>
      <c r="G87" s="56">
        <f t="shared" si="26"/>
        <v>0</v>
      </c>
      <c r="H87" s="56">
        <f t="shared" si="26"/>
        <v>0</v>
      </c>
      <c r="I87" s="93"/>
      <c r="J87" s="93"/>
    </row>
    <row r="88" spans="1:10" ht="14.25" thickTop="1">
      <c r="A88" s="83"/>
      <c r="B88" s="83"/>
      <c r="C88" s="83"/>
      <c r="D88" s="83"/>
      <c r="E88" s="83"/>
      <c r="F88" s="83"/>
      <c r="G88" s="83"/>
      <c r="H88" s="83"/>
    </row>
    <row r="89" spans="1:10">
      <c r="A89" s="93"/>
      <c r="B89" s="93"/>
      <c r="C89" s="93"/>
      <c r="D89" s="93"/>
      <c r="E89" s="93"/>
      <c r="F89" s="93"/>
      <c r="G89" s="93"/>
      <c r="H89" s="93"/>
    </row>
    <row r="90" spans="1:10">
      <c r="A90" s="93"/>
      <c r="B90" s="93"/>
      <c r="C90" s="93"/>
      <c r="D90" s="93"/>
      <c r="E90" s="93"/>
      <c r="F90" s="93"/>
      <c r="G90" s="93"/>
      <c r="H90" s="93"/>
    </row>
    <row r="91" spans="1:10">
      <c r="A91" s="93"/>
      <c r="B91" s="93"/>
      <c r="C91" s="93"/>
      <c r="D91" s="93"/>
      <c r="E91" s="93"/>
      <c r="F91" s="93"/>
      <c r="G91" s="93"/>
      <c r="H91" s="93"/>
    </row>
    <row r="92" spans="1:10">
      <c r="A92" s="93"/>
      <c r="B92" s="93"/>
      <c r="C92" s="93"/>
      <c r="D92" s="93"/>
      <c r="E92" s="93"/>
      <c r="F92" s="93"/>
      <c r="G92" s="93"/>
      <c r="H92" s="93"/>
    </row>
    <row r="93" spans="1:10">
      <c r="A93" s="93"/>
      <c r="B93" s="93"/>
      <c r="C93" s="93"/>
      <c r="D93" s="93"/>
      <c r="E93" s="93"/>
      <c r="F93" s="93"/>
      <c r="G93" s="93"/>
      <c r="H93" s="93"/>
    </row>
    <row r="94" spans="1:10">
      <c r="A94" s="93"/>
      <c r="B94" s="93"/>
      <c r="C94" s="93"/>
      <c r="D94" s="93"/>
      <c r="E94" s="93"/>
      <c r="F94" s="93"/>
      <c r="G94" s="93"/>
      <c r="H94" s="93"/>
    </row>
    <row r="95" spans="1:10">
      <c r="A95" s="93"/>
      <c r="B95" s="93"/>
      <c r="C95" s="93"/>
      <c r="D95" s="93"/>
      <c r="E95" s="93"/>
      <c r="F95" s="93"/>
      <c r="G95" s="93"/>
      <c r="H95" s="93"/>
    </row>
    <row r="96" spans="1:10">
      <c r="A96" s="93"/>
      <c r="B96" s="93"/>
      <c r="C96" s="93"/>
      <c r="D96" s="93"/>
      <c r="E96" s="93"/>
      <c r="F96" s="93"/>
      <c r="G96" s="93"/>
      <c r="H96" s="93"/>
    </row>
    <row r="97" spans="1:8">
      <c r="A97" s="93"/>
      <c r="B97" s="93"/>
      <c r="C97" s="93"/>
      <c r="D97" s="93"/>
      <c r="E97" s="93"/>
      <c r="F97" s="93"/>
      <c r="G97" s="93"/>
      <c r="H97" s="93"/>
    </row>
    <row r="98" spans="1:8">
      <c r="A98" s="93"/>
      <c r="B98" s="93"/>
      <c r="C98" s="93"/>
      <c r="D98" s="93"/>
      <c r="E98" s="93"/>
      <c r="F98" s="93"/>
      <c r="G98" s="93"/>
      <c r="H98" s="93"/>
    </row>
    <row r="99" spans="1:8">
      <c r="A99" s="93"/>
      <c r="B99" s="93"/>
      <c r="C99" s="93"/>
      <c r="D99" s="93"/>
      <c r="E99" s="93"/>
      <c r="F99" s="93"/>
      <c r="G99" s="93"/>
      <c r="H99" s="93"/>
    </row>
    <row r="100" spans="1:8">
      <c r="A100" s="93"/>
      <c r="B100" s="93"/>
      <c r="C100" s="93"/>
      <c r="D100" s="93"/>
      <c r="E100" s="93"/>
      <c r="F100" s="93"/>
      <c r="G100" s="93"/>
      <c r="H100" s="93"/>
    </row>
    <row r="101" spans="1:8">
      <c r="A101" s="93"/>
      <c r="B101" s="93"/>
      <c r="C101" s="93"/>
      <c r="D101" s="93"/>
      <c r="E101" s="93"/>
      <c r="F101" s="93"/>
      <c r="G101" s="93"/>
      <c r="H101" s="93"/>
    </row>
    <row r="102" spans="1:8">
      <c r="A102" s="93"/>
      <c r="B102" s="93"/>
      <c r="C102" s="93"/>
      <c r="D102" s="93"/>
      <c r="E102" s="93"/>
      <c r="F102" s="93"/>
      <c r="G102" s="93"/>
      <c r="H102" s="93"/>
    </row>
    <row r="103" spans="1:8">
      <c r="A103" s="93"/>
      <c r="B103" s="93"/>
      <c r="C103" s="93"/>
      <c r="D103" s="93"/>
      <c r="E103" s="93"/>
      <c r="F103" s="93"/>
      <c r="G103" s="93"/>
      <c r="H103" s="93"/>
    </row>
    <row r="104" spans="1:8">
      <c r="A104" s="93"/>
      <c r="B104" s="93"/>
      <c r="C104" s="93"/>
      <c r="D104" s="93"/>
      <c r="E104" s="93"/>
      <c r="F104" s="93"/>
      <c r="G104" s="93"/>
      <c r="H104" s="93"/>
    </row>
    <row r="105" spans="1:8">
      <c r="A105" s="93"/>
      <c r="B105" s="93"/>
      <c r="C105" s="93"/>
      <c r="D105" s="93"/>
      <c r="E105" s="93"/>
      <c r="F105" s="93"/>
      <c r="G105" s="93"/>
      <c r="H105" s="93"/>
    </row>
    <row r="106" spans="1:8">
      <c r="A106" s="93"/>
      <c r="B106" s="93"/>
      <c r="C106" s="93"/>
      <c r="D106" s="93"/>
      <c r="E106" s="93"/>
      <c r="F106" s="93"/>
      <c r="G106" s="93"/>
      <c r="H106" s="93"/>
    </row>
    <row r="107" spans="1:8">
      <c r="A107" s="93"/>
      <c r="B107" s="93"/>
      <c r="C107" s="93"/>
      <c r="D107" s="93"/>
      <c r="E107" s="93"/>
      <c r="F107" s="93"/>
      <c r="G107" s="93"/>
      <c r="H107" s="93"/>
    </row>
    <row r="108" spans="1:8">
      <c r="A108" s="93"/>
      <c r="B108" s="93"/>
      <c r="C108" s="93"/>
      <c r="D108" s="93"/>
      <c r="E108" s="93"/>
      <c r="F108" s="93"/>
      <c r="G108" s="93"/>
      <c r="H108" s="93"/>
    </row>
    <row r="109" spans="1:8">
      <c r="A109" s="93"/>
      <c r="B109" s="93"/>
      <c r="C109" s="93"/>
      <c r="D109" s="93"/>
      <c r="E109" s="93"/>
      <c r="F109" s="93"/>
      <c r="G109" s="93"/>
      <c r="H109" s="93"/>
    </row>
    <row r="110" spans="1:8">
      <c r="A110" s="93"/>
      <c r="B110" s="93"/>
      <c r="C110" s="93"/>
      <c r="D110" s="93"/>
      <c r="E110" s="93"/>
      <c r="F110" s="93"/>
      <c r="G110" s="93"/>
      <c r="H110" s="93"/>
    </row>
    <row r="111" spans="1:8">
      <c r="A111" s="93"/>
      <c r="B111" s="93"/>
      <c r="C111" s="93"/>
      <c r="D111" s="93"/>
      <c r="E111" s="93"/>
      <c r="F111" s="93"/>
      <c r="G111" s="93"/>
      <c r="H111" s="93"/>
    </row>
    <row r="112" spans="1:8">
      <c r="A112" s="93"/>
      <c r="B112" s="93"/>
      <c r="C112" s="93"/>
      <c r="D112" s="93"/>
      <c r="E112" s="93"/>
      <c r="F112" s="93"/>
      <c r="G112" s="93"/>
      <c r="H112" s="93"/>
    </row>
    <row r="113" spans="1:8">
      <c r="A113" s="93"/>
      <c r="B113" s="93"/>
      <c r="C113" s="93"/>
      <c r="D113" s="93"/>
      <c r="E113" s="93"/>
      <c r="F113" s="93"/>
      <c r="G113" s="93"/>
      <c r="H113" s="93"/>
    </row>
    <row r="114" spans="1:8">
      <c r="A114" s="93"/>
      <c r="B114" s="93"/>
      <c r="C114" s="93"/>
      <c r="D114" s="93"/>
      <c r="E114" s="93"/>
      <c r="F114" s="93"/>
      <c r="G114" s="93"/>
      <c r="H114" s="93"/>
    </row>
    <row r="115" spans="1:8">
      <c r="A115" s="93"/>
      <c r="B115" s="93"/>
      <c r="C115" s="93"/>
      <c r="D115" s="93"/>
      <c r="E115" s="93"/>
      <c r="F115" s="93"/>
      <c r="G115" s="93"/>
      <c r="H115" s="93"/>
    </row>
    <row r="116" spans="1:8">
      <c r="A116" s="93"/>
      <c r="B116" s="93"/>
      <c r="C116" s="93"/>
      <c r="D116" s="93"/>
      <c r="E116" s="93"/>
      <c r="F116" s="93"/>
      <c r="G116" s="93"/>
      <c r="H116" s="93"/>
    </row>
    <row r="117" spans="1:8">
      <c r="A117" s="93"/>
      <c r="B117" s="93"/>
      <c r="C117" s="93"/>
      <c r="D117" s="93"/>
      <c r="E117" s="93"/>
      <c r="F117" s="93"/>
      <c r="G117" s="93"/>
      <c r="H117" s="93"/>
    </row>
    <row r="118" spans="1:8">
      <c r="A118" s="93"/>
      <c r="B118" s="93"/>
      <c r="C118" s="93"/>
      <c r="D118" s="93"/>
      <c r="E118" s="93"/>
      <c r="F118" s="93"/>
      <c r="G118" s="93"/>
      <c r="H118" s="93"/>
    </row>
    <row r="119" spans="1:8">
      <c r="A119" s="93"/>
      <c r="B119" s="93"/>
      <c r="C119" s="93"/>
      <c r="D119" s="93"/>
      <c r="E119" s="93"/>
      <c r="F119" s="93"/>
      <c r="G119" s="93"/>
      <c r="H119" s="93"/>
    </row>
    <row r="120" spans="1:8">
      <c r="A120" s="93"/>
      <c r="B120" s="93"/>
      <c r="C120" s="93"/>
      <c r="D120" s="93"/>
      <c r="E120" s="93"/>
      <c r="F120" s="93"/>
      <c r="G120" s="93"/>
      <c r="H120" s="93"/>
    </row>
    <row r="121" spans="1:8">
      <c r="A121" s="93"/>
      <c r="B121" s="93"/>
      <c r="C121" s="93"/>
      <c r="D121" s="93"/>
      <c r="E121" s="93"/>
      <c r="F121" s="93"/>
      <c r="G121" s="93"/>
      <c r="H121" s="93"/>
    </row>
    <row r="122" spans="1:8">
      <c r="A122" s="93"/>
      <c r="B122" s="93"/>
      <c r="C122" s="93"/>
      <c r="D122" s="93"/>
      <c r="E122" s="93"/>
      <c r="F122" s="93"/>
      <c r="G122" s="93"/>
      <c r="H122" s="93"/>
    </row>
    <row r="123" spans="1:8">
      <c r="A123" s="93"/>
      <c r="B123" s="93"/>
      <c r="C123" s="93"/>
      <c r="D123" s="93"/>
      <c r="E123" s="93"/>
      <c r="F123" s="93"/>
      <c r="G123" s="93"/>
      <c r="H123" s="93"/>
    </row>
    <row r="124" spans="1:8">
      <c r="A124" s="93"/>
      <c r="B124" s="93"/>
      <c r="C124" s="93"/>
      <c r="D124" s="93"/>
      <c r="E124" s="93"/>
      <c r="F124" s="93"/>
      <c r="G124" s="93"/>
      <c r="H124" s="93"/>
    </row>
    <row r="125" spans="1:8">
      <c r="A125" s="93"/>
      <c r="B125" s="93"/>
      <c r="C125" s="93"/>
      <c r="D125" s="93"/>
      <c r="E125" s="93"/>
      <c r="F125" s="93"/>
      <c r="G125" s="93"/>
      <c r="H125" s="93"/>
    </row>
    <row r="126" spans="1:8">
      <c r="A126" s="93"/>
      <c r="B126" s="93"/>
      <c r="C126" s="93"/>
      <c r="D126" s="93"/>
      <c r="E126" s="93"/>
      <c r="F126" s="93"/>
      <c r="G126" s="93"/>
      <c r="H126" s="93"/>
    </row>
    <row r="127" spans="1:8">
      <c r="A127" s="93"/>
      <c r="B127" s="93"/>
      <c r="C127" s="93"/>
      <c r="D127" s="93"/>
      <c r="E127" s="93"/>
      <c r="F127" s="93"/>
      <c r="G127" s="93"/>
      <c r="H127" s="93"/>
    </row>
    <row r="128" spans="1:8">
      <c r="A128" s="93"/>
      <c r="B128" s="93"/>
      <c r="C128" s="93"/>
      <c r="D128" s="93"/>
      <c r="E128" s="93"/>
      <c r="F128" s="93"/>
      <c r="G128" s="93"/>
      <c r="H128" s="93"/>
    </row>
    <row r="129" spans="1:8">
      <c r="A129" s="93"/>
      <c r="B129" s="93"/>
      <c r="C129" s="93"/>
      <c r="D129" s="93"/>
      <c r="E129" s="93"/>
      <c r="F129" s="93"/>
      <c r="G129" s="93"/>
      <c r="H129" s="93"/>
    </row>
    <row r="130" spans="1:8">
      <c r="A130" s="93"/>
      <c r="B130" s="93"/>
      <c r="C130" s="93"/>
      <c r="D130" s="93"/>
      <c r="E130" s="93"/>
      <c r="F130" s="93"/>
      <c r="G130" s="93"/>
      <c r="H130" s="93"/>
    </row>
    <row r="131" spans="1:8">
      <c r="A131" s="93"/>
      <c r="B131" s="93"/>
      <c r="C131" s="93"/>
      <c r="D131" s="93"/>
      <c r="E131" s="93"/>
      <c r="F131" s="93"/>
      <c r="G131" s="93"/>
      <c r="H131" s="93"/>
    </row>
    <row r="132" spans="1:8">
      <c r="A132" s="93"/>
      <c r="B132" s="93"/>
      <c r="C132" s="93"/>
      <c r="D132" s="93"/>
      <c r="E132" s="93"/>
      <c r="F132" s="93"/>
      <c r="G132" s="93"/>
      <c r="H132" s="93"/>
    </row>
    <row r="133" spans="1:8">
      <c r="A133" s="93"/>
      <c r="B133" s="93"/>
      <c r="C133" s="93"/>
      <c r="D133" s="93"/>
      <c r="E133" s="93"/>
      <c r="F133" s="93"/>
      <c r="G133" s="93"/>
      <c r="H133" s="93"/>
    </row>
    <row r="134" spans="1:8">
      <c r="A134" s="93"/>
      <c r="B134" s="93"/>
      <c r="C134" s="93"/>
      <c r="D134" s="93"/>
      <c r="E134" s="93"/>
      <c r="F134" s="93"/>
      <c r="G134" s="93"/>
      <c r="H134" s="93"/>
    </row>
    <row r="135" spans="1:8">
      <c r="A135" s="93"/>
      <c r="B135" s="93"/>
      <c r="C135" s="93"/>
      <c r="D135" s="93"/>
      <c r="E135" s="93"/>
      <c r="F135" s="93"/>
      <c r="G135" s="93"/>
      <c r="H135" s="93"/>
    </row>
    <row r="136" spans="1:8">
      <c r="A136" s="93"/>
      <c r="B136" s="93"/>
      <c r="C136" s="93"/>
      <c r="D136" s="93"/>
      <c r="E136" s="93"/>
      <c r="F136" s="93"/>
      <c r="G136" s="93"/>
      <c r="H136" s="93"/>
    </row>
    <row r="137" spans="1:8">
      <c r="A137" s="93"/>
      <c r="B137" s="93"/>
      <c r="C137" s="93"/>
      <c r="D137" s="93"/>
      <c r="E137" s="93"/>
      <c r="F137" s="93"/>
      <c r="G137" s="93"/>
      <c r="H137" s="93"/>
    </row>
    <row r="138" spans="1:8">
      <c r="A138" s="93"/>
      <c r="B138" s="93"/>
      <c r="C138" s="93"/>
      <c r="D138" s="93"/>
      <c r="E138" s="93"/>
      <c r="F138" s="93"/>
      <c r="G138" s="93"/>
      <c r="H138" s="93"/>
    </row>
    <row r="139" spans="1:8">
      <c r="A139" s="93"/>
      <c r="B139" s="93"/>
      <c r="C139" s="93"/>
      <c r="D139" s="93"/>
      <c r="E139" s="93"/>
      <c r="F139" s="93"/>
      <c r="G139" s="93"/>
      <c r="H139" s="93"/>
    </row>
    <row r="140" spans="1:8">
      <c r="A140" s="93"/>
      <c r="B140" s="93"/>
      <c r="C140" s="93"/>
      <c r="D140" s="93"/>
      <c r="E140" s="93"/>
      <c r="F140" s="93"/>
      <c r="G140" s="93"/>
      <c r="H140" s="93"/>
    </row>
    <row r="141" spans="1:8">
      <c r="A141" s="93"/>
      <c r="B141" s="93"/>
      <c r="C141" s="93"/>
      <c r="D141" s="93"/>
      <c r="E141" s="93"/>
      <c r="F141" s="93"/>
      <c r="G141" s="93"/>
      <c r="H141" s="93"/>
    </row>
    <row r="142" spans="1:8">
      <c r="A142" s="93"/>
      <c r="B142" s="93"/>
      <c r="C142" s="93"/>
      <c r="D142" s="93"/>
      <c r="E142" s="93"/>
      <c r="F142" s="93"/>
      <c r="G142" s="93"/>
      <c r="H142" s="93"/>
    </row>
    <row r="143" spans="1:8">
      <c r="A143" s="93"/>
      <c r="B143" s="93"/>
      <c r="C143" s="93"/>
      <c r="D143" s="93"/>
      <c r="E143" s="93"/>
      <c r="F143" s="93"/>
      <c r="G143" s="93"/>
      <c r="H143" s="93"/>
    </row>
    <row r="144" spans="1:8">
      <c r="A144" s="93"/>
      <c r="B144" s="93"/>
      <c r="C144" s="93"/>
      <c r="D144" s="93"/>
      <c r="E144" s="93"/>
      <c r="F144" s="93"/>
      <c r="G144" s="93"/>
      <c r="H144" s="93"/>
    </row>
    <row r="145" spans="1:8">
      <c r="A145" s="93"/>
      <c r="B145" s="93"/>
      <c r="C145" s="93"/>
      <c r="D145" s="93"/>
      <c r="E145" s="93"/>
      <c r="F145" s="93"/>
      <c r="G145" s="93"/>
      <c r="H145" s="93"/>
    </row>
    <row r="146" spans="1:8">
      <c r="A146" s="93"/>
      <c r="B146" s="93"/>
      <c r="C146" s="93"/>
      <c r="D146" s="93"/>
      <c r="E146" s="93"/>
      <c r="F146" s="93"/>
      <c r="G146" s="93"/>
      <c r="H146" s="93"/>
    </row>
    <row r="147" spans="1:8">
      <c r="A147" s="93"/>
      <c r="B147" s="93"/>
      <c r="C147" s="93"/>
      <c r="D147" s="93"/>
      <c r="E147" s="93"/>
      <c r="F147" s="93"/>
      <c r="G147" s="93"/>
      <c r="H147" s="93"/>
    </row>
    <row r="148" spans="1:8">
      <c r="A148" s="93"/>
      <c r="B148" s="93"/>
      <c r="C148" s="93"/>
      <c r="D148" s="93"/>
      <c r="E148" s="93"/>
      <c r="F148" s="93"/>
      <c r="G148" s="93"/>
      <c r="H148" s="93"/>
    </row>
    <row r="149" spans="1:8">
      <c r="A149" s="93"/>
      <c r="B149" s="93"/>
      <c r="C149" s="93"/>
      <c r="D149" s="93"/>
      <c r="E149" s="93"/>
      <c r="F149" s="93"/>
      <c r="G149" s="93"/>
      <c r="H149" s="93"/>
    </row>
    <row r="150" spans="1:8">
      <c r="A150" s="93"/>
      <c r="B150" s="93"/>
      <c r="C150" s="93"/>
      <c r="D150" s="93"/>
      <c r="E150" s="93"/>
      <c r="F150" s="93"/>
      <c r="G150" s="93"/>
      <c r="H150" s="93"/>
    </row>
    <row r="151" spans="1:8">
      <c r="A151" s="93"/>
      <c r="B151" s="93"/>
      <c r="C151" s="93"/>
      <c r="D151" s="93"/>
      <c r="E151" s="93"/>
      <c r="F151" s="93"/>
      <c r="G151" s="93"/>
      <c r="H151" s="93"/>
    </row>
    <row r="152" spans="1:8">
      <c r="A152" s="93"/>
      <c r="B152" s="93"/>
      <c r="C152" s="93"/>
      <c r="D152" s="93"/>
      <c r="E152" s="93"/>
      <c r="F152" s="93"/>
      <c r="G152" s="93"/>
      <c r="H152" s="93"/>
    </row>
    <row r="153" spans="1:8">
      <c r="A153" s="93"/>
      <c r="B153" s="93"/>
      <c r="C153" s="93"/>
      <c r="D153" s="93"/>
      <c r="E153" s="93"/>
      <c r="F153" s="93"/>
      <c r="G153" s="93"/>
      <c r="H153" s="93"/>
    </row>
    <row r="154" spans="1:8">
      <c r="A154" s="93"/>
      <c r="B154" s="93"/>
      <c r="C154" s="93"/>
      <c r="D154" s="93"/>
      <c r="E154" s="93"/>
      <c r="F154" s="93"/>
      <c r="G154" s="93"/>
      <c r="H154" s="93"/>
    </row>
    <row r="155" spans="1:8">
      <c r="A155" s="93"/>
      <c r="B155" s="93"/>
      <c r="C155" s="93"/>
      <c r="D155" s="93"/>
      <c r="E155" s="93"/>
      <c r="F155" s="93"/>
      <c r="G155" s="93"/>
      <c r="H155" s="93"/>
    </row>
    <row r="156" spans="1:8">
      <c r="A156" s="93"/>
      <c r="B156" s="93"/>
      <c r="C156" s="93"/>
      <c r="D156" s="93"/>
      <c r="E156" s="93"/>
      <c r="F156" s="93"/>
      <c r="G156" s="93"/>
      <c r="H156" s="93"/>
    </row>
    <row r="157" spans="1:8">
      <c r="A157" s="93"/>
      <c r="B157" s="93"/>
      <c r="C157" s="93"/>
      <c r="D157" s="93"/>
      <c r="E157" s="93"/>
      <c r="F157" s="93"/>
      <c r="G157" s="93"/>
      <c r="H157" s="93"/>
    </row>
    <row r="158" spans="1:8">
      <c r="A158" s="93"/>
      <c r="B158" s="93"/>
      <c r="C158" s="93"/>
      <c r="D158" s="93"/>
      <c r="E158" s="93"/>
      <c r="F158" s="93"/>
      <c r="G158" s="93"/>
      <c r="H158" s="93"/>
    </row>
    <row r="159" spans="1:8">
      <c r="A159" s="93"/>
      <c r="B159" s="93"/>
      <c r="C159" s="93"/>
      <c r="D159" s="93"/>
      <c r="E159" s="93"/>
      <c r="F159" s="93"/>
      <c r="G159" s="93"/>
      <c r="H159" s="93"/>
    </row>
    <row r="160" spans="1:8">
      <c r="A160" s="93"/>
      <c r="B160" s="93"/>
      <c r="C160" s="93"/>
      <c r="D160" s="93"/>
      <c r="E160" s="93"/>
      <c r="F160" s="93"/>
      <c r="G160" s="93"/>
      <c r="H160" s="93"/>
    </row>
    <row r="161" spans="1:8">
      <c r="A161" s="93"/>
      <c r="B161" s="93"/>
      <c r="C161" s="93"/>
      <c r="D161" s="93"/>
      <c r="E161" s="93"/>
      <c r="F161" s="93"/>
      <c r="G161" s="93"/>
      <c r="H161" s="93"/>
    </row>
    <row r="162" spans="1:8">
      <c r="A162" s="93"/>
      <c r="B162" s="93"/>
      <c r="C162" s="93"/>
      <c r="D162" s="93"/>
      <c r="E162" s="93"/>
      <c r="F162" s="93"/>
      <c r="G162" s="93"/>
      <c r="H162" s="93"/>
    </row>
    <row r="163" spans="1:8">
      <c r="A163" s="93"/>
      <c r="B163" s="93"/>
      <c r="C163" s="93"/>
      <c r="D163" s="93"/>
      <c r="E163" s="93"/>
      <c r="F163" s="93"/>
      <c r="G163" s="93"/>
      <c r="H163" s="93"/>
    </row>
    <row r="164" spans="1:8">
      <c r="A164" s="93"/>
      <c r="B164" s="93"/>
      <c r="C164" s="93"/>
      <c r="D164" s="93"/>
      <c r="E164" s="93"/>
      <c r="F164" s="93"/>
      <c r="G164" s="93"/>
      <c r="H164" s="93"/>
    </row>
    <row r="165" spans="1:8">
      <c r="A165" s="93"/>
      <c r="B165" s="93"/>
      <c r="C165" s="93"/>
      <c r="D165" s="93"/>
      <c r="E165" s="93"/>
      <c r="F165" s="93"/>
      <c r="G165" s="93"/>
      <c r="H165" s="93"/>
    </row>
    <row r="166" spans="1:8">
      <c r="A166" s="93"/>
      <c r="B166" s="93"/>
      <c r="C166" s="93"/>
      <c r="D166" s="93"/>
      <c r="E166" s="93"/>
      <c r="F166" s="93"/>
      <c r="G166" s="93"/>
      <c r="H166" s="93"/>
    </row>
    <row r="167" spans="1:8">
      <c r="A167" s="93"/>
      <c r="B167" s="93"/>
      <c r="C167" s="93"/>
      <c r="D167" s="93"/>
      <c r="E167" s="93"/>
      <c r="F167" s="93"/>
      <c r="G167" s="93"/>
      <c r="H167" s="93"/>
    </row>
    <row r="168" spans="1:8">
      <c r="A168" s="93"/>
      <c r="B168" s="93"/>
      <c r="C168" s="93"/>
      <c r="D168" s="93"/>
      <c r="E168" s="93"/>
      <c r="F168" s="93"/>
      <c r="G168" s="93"/>
      <c r="H168" s="93"/>
    </row>
    <row r="169" spans="1:8">
      <c r="A169" s="93"/>
      <c r="B169" s="93"/>
      <c r="C169" s="93"/>
      <c r="D169" s="93"/>
      <c r="E169" s="93"/>
      <c r="F169" s="93"/>
      <c r="G169" s="93"/>
      <c r="H169" s="93"/>
    </row>
    <row r="170" spans="1:8">
      <c r="A170" s="93"/>
      <c r="B170" s="93"/>
      <c r="C170" s="93"/>
      <c r="D170" s="93"/>
      <c r="E170" s="93"/>
      <c r="F170" s="93"/>
      <c r="G170" s="93"/>
      <c r="H170" s="93"/>
    </row>
    <row r="171" spans="1:8">
      <c r="A171" s="93"/>
      <c r="B171" s="93"/>
      <c r="C171" s="93"/>
      <c r="D171" s="93"/>
      <c r="E171" s="93"/>
      <c r="F171" s="93"/>
      <c r="G171" s="93"/>
      <c r="H171" s="93"/>
    </row>
    <row r="172" spans="1:8">
      <c r="A172" s="93"/>
      <c r="B172" s="93"/>
      <c r="C172" s="93"/>
      <c r="D172" s="93"/>
      <c r="E172" s="93"/>
      <c r="F172" s="93"/>
      <c r="G172" s="93"/>
      <c r="H172" s="93"/>
    </row>
    <row r="173" spans="1:8">
      <c r="A173" s="93"/>
      <c r="B173" s="93"/>
      <c r="C173" s="93"/>
      <c r="D173" s="93"/>
      <c r="E173" s="93"/>
      <c r="F173" s="93"/>
      <c r="G173" s="93"/>
      <c r="H173" s="93"/>
    </row>
    <row r="174" spans="1:8">
      <c r="A174" s="93"/>
      <c r="B174" s="93"/>
      <c r="C174" s="93"/>
      <c r="D174" s="93"/>
      <c r="E174" s="93"/>
      <c r="F174" s="93"/>
      <c r="G174" s="93"/>
      <c r="H174" s="93"/>
    </row>
    <row r="175" spans="1:8">
      <c r="A175" s="93"/>
      <c r="B175" s="93"/>
      <c r="C175" s="93"/>
      <c r="D175" s="93"/>
      <c r="E175" s="93"/>
      <c r="F175" s="93"/>
      <c r="G175" s="93"/>
      <c r="H175" s="93"/>
    </row>
    <row r="176" spans="1:8">
      <c r="A176" s="93"/>
      <c r="B176" s="93"/>
      <c r="C176" s="93"/>
      <c r="D176" s="93"/>
      <c r="E176" s="93"/>
      <c r="F176" s="93"/>
      <c r="G176" s="93"/>
      <c r="H176" s="93"/>
    </row>
    <row r="177" spans="1:8">
      <c r="A177" s="93"/>
      <c r="B177" s="93"/>
      <c r="C177" s="93"/>
      <c r="D177" s="93"/>
      <c r="E177" s="93"/>
      <c r="F177" s="93"/>
      <c r="G177" s="93"/>
      <c r="H177" s="93"/>
    </row>
    <row r="178" spans="1:8">
      <c r="A178" s="93"/>
      <c r="B178" s="93"/>
      <c r="C178" s="93"/>
      <c r="D178" s="93"/>
      <c r="E178" s="93"/>
      <c r="F178" s="93"/>
      <c r="G178" s="93"/>
      <c r="H178" s="93"/>
    </row>
    <row r="179" spans="1:8">
      <c r="A179" s="93"/>
      <c r="B179" s="93"/>
      <c r="C179" s="93"/>
      <c r="D179" s="93"/>
      <c r="E179" s="93"/>
      <c r="F179" s="93"/>
      <c r="G179" s="93"/>
      <c r="H179" s="93"/>
    </row>
    <row r="180" spans="1:8">
      <c r="A180" s="93"/>
      <c r="B180" s="93"/>
      <c r="C180" s="93"/>
      <c r="D180" s="93"/>
      <c r="E180" s="93"/>
      <c r="F180" s="93"/>
      <c r="G180" s="93"/>
      <c r="H180" s="93"/>
    </row>
    <row r="181" spans="1:8">
      <c r="A181" s="93"/>
      <c r="B181" s="93"/>
      <c r="C181" s="93"/>
      <c r="D181" s="93"/>
      <c r="E181" s="93"/>
      <c r="F181" s="93"/>
      <c r="G181" s="93"/>
      <c r="H181" s="93"/>
    </row>
    <row r="182" spans="1:8">
      <c r="A182" s="93"/>
      <c r="B182" s="93"/>
      <c r="C182" s="93"/>
      <c r="D182" s="93"/>
      <c r="E182" s="93"/>
      <c r="F182" s="93"/>
      <c r="G182" s="93"/>
      <c r="H182" s="93"/>
    </row>
    <row r="183" spans="1:8">
      <c r="A183" s="93"/>
      <c r="B183" s="93"/>
      <c r="C183" s="93"/>
      <c r="D183" s="93"/>
      <c r="E183" s="93"/>
      <c r="F183" s="93"/>
      <c r="G183" s="93"/>
      <c r="H183" s="93"/>
    </row>
    <row r="184" spans="1:8">
      <c r="A184" s="93"/>
      <c r="B184" s="93"/>
      <c r="C184" s="93"/>
      <c r="D184" s="93"/>
      <c r="E184" s="93"/>
      <c r="F184" s="93"/>
      <c r="G184" s="93"/>
      <c r="H184" s="93"/>
    </row>
    <row r="185" spans="1:8">
      <c r="A185" s="93"/>
      <c r="B185" s="93"/>
      <c r="C185" s="93"/>
      <c r="D185" s="93"/>
      <c r="E185" s="93"/>
      <c r="F185" s="93"/>
      <c r="G185" s="93"/>
      <c r="H185" s="93"/>
    </row>
    <row r="186" spans="1:8">
      <c r="A186" s="93"/>
      <c r="B186" s="93"/>
      <c r="C186" s="93"/>
      <c r="D186" s="93"/>
      <c r="E186" s="93"/>
      <c r="F186" s="93"/>
      <c r="G186" s="93"/>
      <c r="H186" s="93"/>
    </row>
    <row r="187" spans="1:8">
      <c r="A187" s="93"/>
      <c r="B187" s="93"/>
      <c r="C187" s="93"/>
      <c r="D187" s="93"/>
      <c r="E187" s="93"/>
      <c r="F187" s="93"/>
      <c r="G187" s="93"/>
      <c r="H187" s="93"/>
    </row>
    <row r="188" spans="1:8">
      <c r="A188" s="93"/>
      <c r="B188" s="93"/>
      <c r="C188" s="93"/>
      <c r="D188" s="93"/>
      <c r="E188" s="93"/>
      <c r="F188" s="93"/>
      <c r="G188" s="93"/>
      <c r="H188" s="93"/>
    </row>
    <row r="189" spans="1:8">
      <c r="A189" s="93"/>
      <c r="B189" s="93"/>
      <c r="C189" s="93"/>
      <c r="D189" s="93"/>
      <c r="E189" s="93"/>
      <c r="F189" s="93"/>
      <c r="G189" s="93"/>
      <c r="H189" s="93"/>
    </row>
    <row r="190" spans="1:8">
      <c r="A190" s="93"/>
      <c r="B190" s="93"/>
      <c r="C190" s="93"/>
      <c r="D190" s="93"/>
      <c r="E190" s="93"/>
      <c r="F190" s="93"/>
      <c r="G190" s="93"/>
      <c r="H190" s="93"/>
    </row>
    <row r="191" spans="1:8">
      <c r="A191" s="93"/>
      <c r="B191" s="93"/>
      <c r="C191" s="93"/>
      <c r="D191" s="93"/>
      <c r="E191" s="93"/>
      <c r="F191" s="93"/>
      <c r="G191" s="93"/>
      <c r="H191" s="93"/>
    </row>
    <row r="192" spans="1:8">
      <c r="A192" s="93"/>
      <c r="B192" s="93"/>
      <c r="C192" s="93"/>
      <c r="D192" s="93"/>
      <c r="E192" s="93"/>
      <c r="F192" s="93"/>
      <c r="G192" s="93"/>
      <c r="H192" s="93"/>
    </row>
    <row r="193" spans="1:8">
      <c r="A193" s="93"/>
      <c r="B193" s="93"/>
      <c r="C193" s="93"/>
      <c r="D193" s="93"/>
      <c r="E193" s="93"/>
      <c r="F193" s="93"/>
      <c r="G193" s="93"/>
      <c r="H193" s="93"/>
    </row>
    <row r="194" spans="1:8">
      <c r="A194" s="93"/>
      <c r="B194" s="93"/>
      <c r="C194" s="93"/>
      <c r="D194" s="93"/>
      <c r="E194" s="93"/>
      <c r="F194" s="93"/>
      <c r="G194" s="93"/>
      <c r="H194" s="93"/>
    </row>
    <row r="195" spans="1:8">
      <c r="A195" s="93"/>
      <c r="B195" s="93"/>
      <c r="C195" s="93"/>
      <c r="D195" s="93"/>
      <c r="E195" s="93"/>
      <c r="F195" s="93"/>
      <c r="G195" s="93"/>
      <c r="H195" s="93"/>
    </row>
    <row r="196" spans="1:8">
      <c r="A196" s="93"/>
      <c r="B196" s="93"/>
      <c r="C196" s="93"/>
      <c r="D196" s="93"/>
      <c r="E196" s="93"/>
      <c r="F196" s="93"/>
      <c r="G196" s="93"/>
      <c r="H196" s="93"/>
    </row>
    <row r="197" spans="1:8">
      <c r="A197" s="93"/>
      <c r="B197" s="93"/>
      <c r="C197" s="93"/>
      <c r="D197" s="93"/>
      <c r="E197" s="93"/>
      <c r="F197" s="93"/>
      <c r="G197" s="93"/>
      <c r="H197" s="93"/>
    </row>
    <row r="198" spans="1:8">
      <c r="A198" s="93"/>
      <c r="B198" s="93"/>
      <c r="C198" s="93"/>
      <c r="D198" s="93"/>
      <c r="E198" s="93"/>
      <c r="F198" s="93"/>
      <c r="G198" s="93"/>
      <c r="H198" s="93"/>
    </row>
    <row r="199" spans="1:8">
      <c r="A199" s="93"/>
      <c r="B199" s="93"/>
      <c r="C199" s="93"/>
      <c r="D199" s="93"/>
      <c r="E199" s="93"/>
      <c r="F199" s="93"/>
      <c r="G199" s="93"/>
      <c r="H199" s="93"/>
    </row>
    <row r="200" spans="1:8">
      <c r="A200" s="93"/>
      <c r="B200" s="93"/>
      <c r="C200" s="93"/>
      <c r="D200" s="93"/>
      <c r="E200" s="93"/>
      <c r="F200" s="93"/>
      <c r="G200" s="93"/>
      <c r="H200" s="93"/>
    </row>
    <row r="201" spans="1:8">
      <c r="A201" s="93"/>
      <c r="B201" s="93"/>
      <c r="C201" s="93"/>
      <c r="D201" s="93"/>
      <c r="E201" s="93"/>
      <c r="F201" s="93"/>
      <c r="G201" s="93"/>
      <c r="H201" s="93"/>
    </row>
    <row r="202" spans="1:8">
      <c r="A202" s="93"/>
      <c r="B202" s="93"/>
      <c r="C202" s="93"/>
      <c r="D202" s="93"/>
      <c r="E202" s="93"/>
      <c r="F202" s="93"/>
      <c r="G202" s="93"/>
      <c r="H202" s="93"/>
    </row>
    <row r="203" spans="1:8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32:B32"/>
    <mergeCell ref="A41:B41"/>
    <mergeCell ref="A54:B54"/>
    <mergeCell ref="A33:B33"/>
    <mergeCell ref="A37:B37"/>
    <mergeCell ref="A52:B52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4:H4"/>
    <mergeCell ref="A29:B29"/>
    <mergeCell ref="A12:B12"/>
    <mergeCell ref="A8:B8"/>
    <mergeCell ref="A13:B13"/>
    <mergeCell ref="A17:B17"/>
    <mergeCell ref="A21:B21"/>
    <mergeCell ref="A25:B25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rowBreaks count="1" manualBreakCount="1">
    <brk id="56" max="16383" man="1"/>
  </rowBreaks>
  <ignoredErrors>
    <ignoredError sqref="D52:H52 D50:H50 E8:H8 B72 B78 D8 E48:H4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Normal="100" workbookViewId="0">
      <selection activeCell="B9" sqref="B9"/>
    </sheetView>
  </sheetViews>
  <sheetFormatPr defaultColWidth="8.7109375" defaultRowHeight="13.5"/>
  <cols>
    <col min="1" max="1" width="40.5703125" style="76" customWidth="1"/>
    <col min="2" max="2" width="7.85546875" style="76" customWidth="1"/>
    <col min="3" max="14" width="11.42578125" style="76" customWidth="1"/>
    <col min="15" max="16384" width="8.7109375" style="76"/>
  </cols>
  <sheetData>
    <row r="1" spans="1:9" ht="14.2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Portugal OutofTrack</v>
      </c>
    </row>
    <row r="2" spans="1:9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>
      <c r="A3" s="77"/>
      <c r="B3" s="73"/>
      <c r="C3" s="73"/>
      <c r="D3" s="73"/>
      <c r="E3" s="73"/>
      <c r="F3" s="73"/>
      <c r="G3" s="73"/>
      <c r="H3" s="78"/>
      <c r="I3" s="93"/>
    </row>
    <row r="4" spans="1:9" ht="16.5">
      <c r="A4" s="460" t="s">
        <v>73</v>
      </c>
      <c r="B4" s="460"/>
      <c r="C4" s="460"/>
      <c r="D4" s="460"/>
      <c r="E4" s="460"/>
      <c r="F4" s="460"/>
      <c r="G4" s="460"/>
      <c r="H4" s="460"/>
      <c r="I4" s="93"/>
    </row>
    <row r="5" spans="1:9">
      <c r="A5" s="79"/>
      <c r="B5" s="79"/>
      <c r="C5" s="79"/>
      <c r="D5" s="79"/>
      <c r="E5" s="79"/>
      <c r="F5" s="79"/>
      <c r="G5" s="79"/>
      <c r="H5" s="79"/>
      <c r="I5" s="93"/>
    </row>
    <row r="6" spans="1:9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2012</v>
      </c>
      <c r="D7" s="109">
        <f>+VN!D8</f>
        <v>2013</v>
      </c>
      <c r="E7" s="109">
        <f>+VN!E8</f>
        <v>2014</v>
      </c>
      <c r="F7" s="109">
        <f>+VN!F8</f>
        <v>2015</v>
      </c>
      <c r="G7" s="109">
        <f>+VN!G8</f>
        <v>2016</v>
      </c>
      <c r="H7" s="109">
        <f>+VN!H8</f>
        <v>2017</v>
      </c>
      <c r="I7" s="93"/>
    </row>
    <row r="8" spans="1:9">
      <c r="A8" s="107" t="s">
        <v>222</v>
      </c>
      <c r="B8" s="437"/>
      <c r="C8" s="438">
        <f t="shared" ref="C8:H8" si="0">+SUM(C9:C12)</f>
        <v>2899.7</v>
      </c>
      <c r="D8" s="438">
        <f t="shared" si="0"/>
        <v>24824.737499999999</v>
      </c>
      <c r="E8" s="438">
        <f t="shared" si="0"/>
        <v>56902.7575</v>
      </c>
      <c r="F8" s="438">
        <f t="shared" si="0"/>
        <v>105742.44960000001</v>
      </c>
      <c r="G8" s="438">
        <f t="shared" si="0"/>
        <v>147421.89409750002</v>
      </c>
      <c r="H8" s="438">
        <f t="shared" si="0"/>
        <v>164261.36124575001</v>
      </c>
      <c r="I8" s="93"/>
    </row>
    <row r="9" spans="1:9">
      <c r="A9" s="110" t="str">
        <f>+VN!A13</f>
        <v>Comissões Venda Second Home maioritariamente emigrantes</v>
      </c>
      <c r="B9" s="52">
        <v>0.5</v>
      </c>
      <c r="C9" s="439">
        <f>VN!C13*(1-CMVMC!$B$9)</f>
        <v>2500</v>
      </c>
      <c r="D9" s="439">
        <f>VN!D13*(1-CMVMC!$B$9)</f>
        <v>15000</v>
      </c>
      <c r="E9" s="439">
        <f>VN!E13*(1-CMVMC!$B$9)</f>
        <v>37500</v>
      </c>
      <c r="F9" s="439">
        <f>VN!F13*(1-CMVMC!$B$9)</f>
        <v>63750</v>
      </c>
      <c r="G9" s="439">
        <f>VN!G13*(1-CMVMC!$B$9)</f>
        <v>90000</v>
      </c>
      <c r="H9" s="439">
        <f>VN!H13*(1-CMVMC!$B$9)</f>
        <v>100000</v>
      </c>
      <c r="I9" s="93"/>
    </row>
    <row r="10" spans="1:9">
      <c r="A10" s="110" t="str">
        <f>+VN!A17</f>
        <v>Comissões outros serviços referenciados</v>
      </c>
      <c r="B10" s="52">
        <v>0.9</v>
      </c>
      <c r="C10" s="439">
        <f>VN!C17*(1-CMVMC!$B$10)</f>
        <v>2.4999999999999996</v>
      </c>
      <c r="D10" s="439">
        <f>VN!D17*(1-CMVMC!$B$10)</f>
        <v>0</v>
      </c>
      <c r="E10" s="439">
        <f>VN!E17*(1-CMVMC!$B$10)</f>
        <v>32.499999999999993</v>
      </c>
      <c r="F10" s="439">
        <f>VN!F17*(1-CMVMC!$B$10)</f>
        <v>52.499999999999986</v>
      </c>
      <c r="G10" s="439">
        <f>VN!G17*(1-CMVMC!$B$10)</f>
        <v>69.999999999999986</v>
      </c>
      <c r="H10" s="439">
        <f>VN!H17*(1-CMVMC!$B$10)</f>
        <v>69.999999999999986</v>
      </c>
      <c r="I10" s="93"/>
    </row>
    <row r="11" spans="1:9">
      <c r="A11" s="110">
        <f>+VN!A21</f>
        <v>0</v>
      </c>
      <c r="B11" s="52"/>
      <c r="C11" s="439">
        <v>397.2</v>
      </c>
      <c r="D11" s="439">
        <v>9824.7374999999993</v>
      </c>
      <c r="E11" s="439">
        <v>19370.2575</v>
      </c>
      <c r="F11" s="439">
        <v>41939.949600000007</v>
      </c>
      <c r="G11" s="439">
        <v>57351.894097500008</v>
      </c>
      <c r="H11" s="439">
        <v>64191.36124575002</v>
      </c>
      <c r="I11" s="93"/>
    </row>
    <row r="12" spans="1:9">
      <c r="A12" s="110">
        <f>+VN!A25</f>
        <v>0</v>
      </c>
      <c r="B12" s="52">
        <v>1</v>
      </c>
      <c r="C12" s="439">
        <f>VN!C16*(1-CMVMC!$B$12)</f>
        <v>0</v>
      </c>
      <c r="D12" s="439">
        <f>VN!D16*(1-CMVMC!$B$12)</f>
        <v>0</v>
      </c>
      <c r="E12" s="439">
        <f>VN!E16*(1-CMVMC!$B$12)</f>
        <v>0</v>
      </c>
      <c r="F12" s="439">
        <f>VN!F16*(1-CMVMC!$B$12)</f>
        <v>0</v>
      </c>
      <c r="G12" s="439">
        <f>VN!G16*(1-CMVMC!$B$12)</f>
        <v>0</v>
      </c>
      <c r="H12" s="439">
        <f>VN!H16*(1-CMVMC!$B$12)</f>
        <v>0</v>
      </c>
      <c r="I12" s="93"/>
    </row>
    <row r="13" spans="1:9">
      <c r="A13" s="107" t="s">
        <v>223</v>
      </c>
      <c r="B13" s="111"/>
      <c r="C13" s="145">
        <f t="shared" ref="C13:H13" si="1">+C15+C14</f>
        <v>5005</v>
      </c>
      <c r="D13" s="145">
        <f t="shared" si="1"/>
        <v>75068.75</v>
      </c>
      <c r="E13" s="145">
        <f t="shared" si="1"/>
        <v>150130</v>
      </c>
      <c r="F13" s="145">
        <f t="shared" si="1"/>
        <v>212675</v>
      </c>
      <c r="G13" s="145">
        <f t="shared" si="1"/>
        <v>270210</v>
      </c>
      <c r="H13" s="145">
        <f t="shared" si="1"/>
        <v>350245</v>
      </c>
      <c r="I13" s="93"/>
    </row>
    <row r="14" spans="1:9">
      <c r="A14" s="110" t="str">
        <f>+VN!A33</f>
        <v>Comissões Venda Second Home estrangeiros</v>
      </c>
      <c r="B14" s="52">
        <v>0.5</v>
      </c>
      <c r="C14" s="439">
        <f>VN!C33*(1-CMVMC!$B$14)</f>
        <v>5000</v>
      </c>
      <c r="D14" s="439">
        <f>VN!D33*(1-CMVMC!$B$14)</f>
        <v>75000</v>
      </c>
      <c r="E14" s="439">
        <f>VN!E33*(1-CMVMC!$B$14)</f>
        <v>150000</v>
      </c>
      <c r="F14" s="439">
        <f>VN!F33*(1-CMVMC!$B$14)</f>
        <v>212500</v>
      </c>
      <c r="G14" s="439">
        <f>VN!G33*(1-CMVMC!$B$14)</f>
        <v>270000</v>
      </c>
      <c r="H14" s="439">
        <f>VN!H33*(1-CMVMC!$B$14)</f>
        <v>350000</v>
      </c>
      <c r="I14" s="93"/>
    </row>
    <row r="15" spans="1:9">
      <c r="A15" s="110" t="str">
        <f>+VN!A37</f>
        <v>Comissões outros serviços</v>
      </c>
      <c r="B15" s="52">
        <v>0.9</v>
      </c>
      <c r="C15" s="439">
        <f>VN!C37*(1-CMVMC!$B$15)</f>
        <v>4.9999999999999991</v>
      </c>
      <c r="D15" s="439">
        <f>VN!D37*(1-CMVMC!$B$15)</f>
        <v>68.749999999999986</v>
      </c>
      <c r="E15" s="439">
        <f>VN!E37*(1-CMVMC!$B$15)</f>
        <v>129.99999999999997</v>
      </c>
      <c r="F15" s="439">
        <f>VN!F37*(1-CMVMC!$B$15)</f>
        <v>174.99999999999997</v>
      </c>
      <c r="G15" s="439">
        <f>VN!G37*(1-CMVMC!$B$15)</f>
        <v>209.99999999999994</v>
      </c>
      <c r="H15" s="439">
        <f>VN!H37*(1-CMVMC!$B$15)</f>
        <v>244.99999999999994</v>
      </c>
      <c r="I15" s="93"/>
    </row>
    <row r="16" spans="1:9" ht="14.25" thickBot="1">
      <c r="A16" s="471" t="s">
        <v>69</v>
      </c>
      <c r="B16" s="471"/>
      <c r="C16" s="440">
        <f t="shared" ref="C16:H16" si="2">+C8+C13</f>
        <v>7904.7</v>
      </c>
      <c r="D16" s="440">
        <f t="shared" si="2"/>
        <v>99893.487500000003</v>
      </c>
      <c r="E16" s="440">
        <f t="shared" si="2"/>
        <v>207032.75750000001</v>
      </c>
      <c r="F16" s="440">
        <f t="shared" si="2"/>
        <v>318417.44959999999</v>
      </c>
      <c r="G16" s="440">
        <f t="shared" si="2"/>
        <v>417631.89409750002</v>
      </c>
      <c r="H16" s="440">
        <f t="shared" si="2"/>
        <v>514506.36124574998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0.23</v>
      </c>
      <c r="C18" s="112">
        <f t="shared" ref="C18:H18" si="3">+C8*$B$18</f>
        <v>666.93100000000004</v>
      </c>
      <c r="D18" s="112">
        <f t="shared" si="3"/>
        <v>5709.689625</v>
      </c>
      <c r="E18" s="112">
        <f t="shared" si="3"/>
        <v>13087.634225</v>
      </c>
      <c r="F18" s="112">
        <f t="shared" si="3"/>
        <v>24320.763408000003</v>
      </c>
      <c r="G18" s="112">
        <f t="shared" si="3"/>
        <v>33907.035642425006</v>
      </c>
      <c r="H18" s="112">
        <f t="shared" si="3"/>
        <v>37780.113086522506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71" t="s">
        <v>70</v>
      </c>
      <c r="B20" s="471"/>
      <c r="C20" s="56">
        <f t="shared" ref="C20:H20" si="4">+C16+C18</f>
        <v>8571.6309999999994</v>
      </c>
      <c r="D20" s="56">
        <f t="shared" si="4"/>
        <v>105603.177125</v>
      </c>
      <c r="E20" s="56">
        <f t="shared" si="4"/>
        <v>220120.39172499999</v>
      </c>
      <c r="F20" s="56">
        <f t="shared" si="4"/>
        <v>342738.21300799999</v>
      </c>
      <c r="G20" s="56">
        <f t="shared" si="4"/>
        <v>451538.92973992502</v>
      </c>
      <c r="H20" s="56">
        <f t="shared" si="4"/>
        <v>552286.47433227254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>
      <c r="A22" s="83"/>
      <c r="B22" s="83"/>
      <c r="C22" s="83"/>
      <c r="D22" s="83"/>
      <c r="E22" s="83"/>
      <c r="F22" s="83"/>
      <c r="G22" s="83"/>
      <c r="H22" s="83"/>
      <c r="I22" s="93"/>
    </row>
    <row r="23" spans="1:9">
      <c r="A23" s="113" t="s">
        <v>152</v>
      </c>
      <c r="B23" s="83"/>
      <c r="C23" s="83"/>
      <c r="D23" s="83"/>
      <c r="E23" s="83"/>
      <c r="F23" s="83"/>
      <c r="G23" s="83"/>
      <c r="H23" s="83"/>
      <c r="I23" s="93"/>
    </row>
    <row r="24" spans="1:9">
      <c r="A24" s="114" t="s">
        <v>224</v>
      </c>
      <c r="B24" s="83"/>
      <c r="C24" s="83"/>
      <c r="D24" s="83"/>
      <c r="E24" s="83"/>
      <c r="F24" s="83"/>
      <c r="G24" s="83"/>
      <c r="H24" s="83"/>
      <c r="I24" s="93"/>
    </row>
    <row r="25" spans="1:9">
      <c r="A25" s="114" t="s">
        <v>153</v>
      </c>
      <c r="B25" s="83"/>
      <c r="C25" s="83"/>
      <c r="D25" s="83"/>
      <c r="E25" s="83"/>
      <c r="F25" s="83"/>
      <c r="G25" s="83"/>
      <c r="H25" s="83"/>
      <c r="I25" s="93"/>
    </row>
    <row r="26" spans="1:9">
      <c r="A26" s="114" t="s">
        <v>195</v>
      </c>
      <c r="B26" s="83"/>
      <c r="C26" s="83"/>
      <c r="D26" s="83"/>
      <c r="E26" s="83"/>
      <c r="F26" s="83"/>
      <c r="G26" s="83"/>
      <c r="H26" s="83"/>
      <c r="I26" s="93"/>
    </row>
    <row r="27" spans="1:9">
      <c r="A27" s="114"/>
      <c r="B27" s="83"/>
      <c r="C27" s="83"/>
      <c r="D27" s="83"/>
      <c r="E27" s="83"/>
      <c r="F27" s="83"/>
      <c r="G27" s="83"/>
      <c r="H27" s="83"/>
      <c r="I27" s="93"/>
    </row>
    <row r="28" spans="1:9">
      <c r="A28" s="113" t="s">
        <v>196</v>
      </c>
      <c r="B28" s="83"/>
      <c r="C28" s="83"/>
      <c r="D28" s="83"/>
      <c r="E28" s="83"/>
      <c r="F28" s="83"/>
      <c r="G28" s="83"/>
      <c r="H28" s="83"/>
      <c r="I28" s="93"/>
    </row>
    <row r="29" spans="1:9">
      <c r="A29" s="115"/>
      <c r="B29" s="83"/>
      <c r="C29" s="83"/>
      <c r="D29" s="83"/>
      <c r="E29" s="83"/>
      <c r="F29" s="83"/>
      <c r="G29" s="83"/>
      <c r="H29" s="83"/>
      <c r="I29" s="93"/>
    </row>
    <row r="30" spans="1:9">
      <c r="A30" s="116"/>
      <c r="B30" s="93"/>
      <c r="C30" s="93"/>
      <c r="D30" s="93"/>
      <c r="E30" s="93"/>
      <c r="F30" s="93"/>
      <c r="G30" s="93"/>
      <c r="H30" s="93"/>
    </row>
    <row r="31" spans="1:9">
      <c r="A31" s="93"/>
      <c r="B31" s="93"/>
      <c r="C31" s="93"/>
      <c r="D31" s="93"/>
      <c r="E31" s="93"/>
      <c r="F31" s="93"/>
      <c r="G31" s="93"/>
      <c r="H31" s="93"/>
    </row>
    <row r="32" spans="1:9">
      <c r="A32" s="93"/>
      <c r="B32" s="93"/>
      <c r="C32" s="93"/>
      <c r="D32" s="93"/>
      <c r="E32" s="93"/>
      <c r="F32" s="93"/>
      <c r="G32" s="93"/>
      <c r="H32" s="93"/>
    </row>
    <row r="33" spans="1:8">
      <c r="A33" s="93"/>
      <c r="B33" s="93"/>
      <c r="C33" s="93"/>
      <c r="D33" s="93"/>
      <c r="E33" s="93"/>
      <c r="F33" s="93"/>
      <c r="G33" s="93"/>
      <c r="H33" s="93"/>
    </row>
    <row r="34" spans="1:8">
      <c r="A34" s="93"/>
      <c r="B34" s="93"/>
      <c r="C34" s="93"/>
      <c r="D34" s="93"/>
      <c r="E34" s="93"/>
      <c r="F34" s="93"/>
      <c r="G34" s="93"/>
      <c r="H34" s="93"/>
    </row>
    <row r="35" spans="1:8">
      <c r="A35" s="93"/>
      <c r="B35" s="93"/>
      <c r="C35" s="93"/>
      <c r="D35" s="93"/>
      <c r="E35" s="93"/>
      <c r="F35" s="93"/>
      <c r="G35" s="93"/>
      <c r="H35" s="93"/>
    </row>
    <row r="36" spans="1:8">
      <c r="A36" s="93"/>
      <c r="B36" s="93"/>
      <c r="C36" s="93"/>
      <c r="D36" s="93"/>
      <c r="E36" s="93"/>
      <c r="F36" s="93"/>
      <c r="G36" s="93"/>
      <c r="H36" s="93"/>
    </row>
    <row r="37" spans="1:8">
      <c r="A37" s="93"/>
      <c r="B37" s="93"/>
      <c r="C37" s="93"/>
      <c r="D37" s="93"/>
      <c r="E37" s="93"/>
      <c r="F37" s="93"/>
      <c r="G37" s="93"/>
      <c r="H37" s="93"/>
    </row>
    <row r="38" spans="1:8">
      <c r="A38" s="93"/>
      <c r="B38" s="93"/>
      <c r="C38" s="93"/>
      <c r="D38" s="93"/>
      <c r="E38" s="93"/>
      <c r="F38" s="93"/>
      <c r="G38" s="93"/>
      <c r="H38" s="93"/>
    </row>
    <row r="39" spans="1:8">
      <c r="A39" s="93"/>
      <c r="B39" s="93"/>
      <c r="C39" s="93"/>
      <c r="D39" s="93"/>
      <c r="E39" s="93"/>
      <c r="F39" s="93"/>
      <c r="G39" s="93"/>
      <c r="H39" s="93"/>
    </row>
    <row r="40" spans="1:8">
      <c r="A40" s="93"/>
      <c r="B40" s="93"/>
      <c r="C40" s="93"/>
      <c r="D40" s="93"/>
      <c r="E40" s="93"/>
      <c r="F40" s="93"/>
      <c r="G40" s="93"/>
      <c r="H40" s="93"/>
    </row>
    <row r="41" spans="1:8">
      <c r="A41" s="93"/>
      <c r="B41" s="93"/>
      <c r="C41" s="93"/>
      <c r="D41" s="93"/>
      <c r="E41" s="93"/>
      <c r="F41" s="93"/>
      <c r="G41" s="93"/>
      <c r="H41" s="93"/>
    </row>
    <row r="42" spans="1:8">
      <c r="A42" s="93"/>
      <c r="B42" s="93"/>
      <c r="C42" s="93"/>
      <c r="D42" s="93"/>
      <c r="E42" s="93"/>
      <c r="F42" s="93"/>
      <c r="G42" s="93"/>
      <c r="H42" s="93"/>
    </row>
    <row r="43" spans="1:8">
      <c r="A43" s="93"/>
      <c r="B43" s="93"/>
      <c r="C43" s="93"/>
      <c r="D43" s="93"/>
      <c r="E43" s="93"/>
      <c r="F43" s="93"/>
      <c r="G43" s="93"/>
      <c r="H43" s="93"/>
    </row>
    <row r="44" spans="1:8">
      <c r="A44" s="93"/>
      <c r="B44" s="93"/>
      <c r="C44" s="93"/>
      <c r="D44" s="93"/>
      <c r="E44" s="93"/>
      <c r="F44" s="93"/>
      <c r="G44" s="93"/>
      <c r="H44" s="93"/>
    </row>
    <row r="45" spans="1:8">
      <c r="A45" s="93"/>
      <c r="B45" s="93"/>
      <c r="C45" s="93"/>
      <c r="D45" s="93"/>
      <c r="E45" s="93"/>
      <c r="F45" s="93"/>
      <c r="G45" s="93"/>
      <c r="H45" s="93"/>
    </row>
    <row r="46" spans="1:8">
      <c r="A46" s="93"/>
      <c r="B46" s="93"/>
      <c r="C46" s="93"/>
      <c r="D46" s="93"/>
      <c r="E46" s="93"/>
      <c r="F46" s="93"/>
      <c r="G46" s="93"/>
      <c r="H46" s="93"/>
    </row>
    <row r="47" spans="1:8">
      <c r="A47" s="93"/>
      <c r="B47" s="93"/>
      <c r="C47" s="93"/>
      <c r="D47" s="93"/>
      <c r="E47" s="93"/>
      <c r="F47" s="93"/>
      <c r="G47" s="93"/>
      <c r="H47" s="93"/>
    </row>
    <row r="48" spans="1:8">
      <c r="A48" s="93"/>
      <c r="B48" s="93"/>
      <c r="C48" s="93"/>
      <c r="D48" s="93"/>
      <c r="E48" s="93"/>
      <c r="F48" s="93"/>
      <c r="G48" s="93"/>
      <c r="H48" s="93"/>
    </row>
    <row r="49" spans="1:8">
      <c r="A49" s="93"/>
      <c r="B49" s="93"/>
      <c r="C49" s="93"/>
      <c r="D49" s="93"/>
      <c r="E49" s="93"/>
      <c r="F49" s="93"/>
      <c r="G49" s="93"/>
      <c r="H49" s="93"/>
    </row>
    <row r="50" spans="1:8">
      <c r="A50" s="93"/>
      <c r="B50" s="93"/>
      <c r="C50" s="93"/>
      <c r="D50" s="93"/>
      <c r="E50" s="93"/>
      <c r="F50" s="93"/>
      <c r="G50" s="93"/>
      <c r="H50" s="93"/>
    </row>
    <row r="51" spans="1:8">
      <c r="A51" s="93"/>
      <c r="B51" s="93"/>
      <c r="C51" s="93"/>
      <c r="D51" s="93"/>
      <c r="E51" s="93"/>
      <c r="F51" s="93"/>
      <c r="G51" s="93"/>
      <c r="H51" s="93"/>
    </row>
    <row r="52" spans="1:8">
      <c r="A52" s="93"/>
      <c r="B52" s="93"/>
      <c r="C52" s="93"/>
      <c r="D52" s="93"/>
      <c r="E52" s="93"/>
      <c r="F52" s="93"/>
      <c r="G52" s="93"/>
      <c r="H52" s="93"/>
    </row>
    <row r="53" spans="1:8">
      <c r="A53" s="93"/>
      <c r="B53" s="93"/>
      <c r="C53" s="93"/>
      <c r="D53" s="93"/>
      <c r="E53" s="93"/>
      <c r="F53" s="93"/>
      <c r="G53" s="93"/>
      <c r="H53" s="93"/>
    </row>
    <row r="54" spans="1:8">
      <c r="A54" s="93"/>
      <c r="B54" s="93"/>
      <c r="C54" s="93"/>
      <c r="D54" s="93"/>
      <c r="E54" s="93"/>
      <c r="F54" s="93"/>
      <c r="G54" s="93"/>
      <c r="H54" s="93"/>
    </row>
    <row r="55" spans="1:8">
      <c r="A55" s="93"/>
      <c r="B55" s="93"/>
      <c r="C55" s="93"/>
      <c r="D55" s="93"/>
      <c r="E55" s="93"/>
      <c r="F55" s="93"/>
      <c r="G55" s="93"/>
      <c r="H55" s="93"/>
    </row>
    <row r="56" spans="1:8">
      <c r="A56" s="93"/>
      <c r="B56" s="93"/>
      <c r="C56" s="93"/>
      <c r="D56" s="93"/>
      <c r="E56" s="93"/>
      <c r="F56" s="93"/>
      <c r="G56" s="93"/>
      <c r="H56" s="93"/>
    </row>
    <row r="57" spans="1:8">
      <c r="A57" s="93"/>
      <c r="B57" s="93"/>
      <c r="C57" s="93"/>
      <c r="D57" s="93"/>
      <c r="E57" s="93"/>
      <c r="F57" s="93"/>
      <c r="G57" s="93"/>
      <c r="H57" s="93"/>
    </row>
    <row r="58" spans="1:8">
      <c r="A58" s="93"/>
      <c r="B58" s="93"/>
      <c r="C58" s="93"/>
      <c r="D58" s="93"/>
      <c r="E58" s="93"/>
      <c r="F58" s="93"/>
      <c r="G58" s="93"/>
      <c r="H58" s="93"/>
    </row>
    <row r="59" spans="1:8">
      <c r="A59" s="93"/>
      <c r="B59" s="93"/>
      <c r="C59" s="93"/>
      <c r="D59" s="93"/>
      <c r="E59" s="93"/>
      <c r="F59" s="93"/>
      <c r="G59" s="93"/>
      <c r="H59" s="93"/>
    </row>
    <row r="60" spans="1:8">
      <c r="A60" s="93"/>
      <c r="B60" s="93"/>
      <c r="C60" s="93"/>
      <c r="D60" s="93"/>
      <c r="E60" s="93"/>
      <c r="F60" s="93"/>
      <c r="G60" s="93"/>
      <c r="H60" s="93"/>
    </row>
    <row r="61" spans="1:8">
      <c r="A61" s="93"/>
      <c r="B61" s="93"/>
      <c r="C61" s="93"/>
      <c r="D61" s="93"/>
      <c r="E61" s="93"/>
      <c r="F61" s="93"/>
      <c r="G61" s="93"/>
      <c r="H61" s="93"/>
    </row>
    <row r="62" spans="1:8">
      <c r="A62" s="93"/>
      <c r="B62" s="93"/>
      <c r="C62" s="93"/>
      <c r="D62" s="93"/>
      <c r="E62" s="93"/>
      <c r="F62" s="93"/>
      <c r="G62" s="93"/>
      <c r="H62" s="93"/>
    </row>
    <row r="63" spans="1:8">
      <c r="A63" s="93"/>
      <c r="B63" s="93"/>
      <c r="C63" s="93"/>
      <c r="D63" s="93"/>
      <c r="E63" s="93"/>
      <c r="F63" s="93"/>
      <c r="G63" s="93"/>
      <c r="H63" s="93"/>
    </row>
    <row r="64" spans="1:8">
      <c r="A64" s="93"/>
      <c r="B64" s="93"/>
      <c r="C64" s="93"/>
      <c r="D64" s="93"/>
      <c r="E64" s="93"/>
      <c r="F64" s="93"/>
      <c r="G64" s="93"/>
      <c r="H64" s="93"/>
    </row>
    <row r="65" spans="1:8">
      <c r="A65" s="93"/>
      <c r="B65" s="93"/>
      <c r="C65" s="93"/>
      <c r="D65" s="93"/>
      <c r="E65" s="93"/>
      <c r="F65" s="93"/>
      <c r="G65" s="93"/>
      <c r="H65" s="93"/>
    </row>
    <row r="66" spans="1:8">
      <c r="A66" s="93"/>
      <c r="B66" s="93"/>
      <c r="C66" s="93"/>
      <c r="D66" s="93"/>
      <c r="E66" s="93"/>
      <c r="F66" s="93"/>
      <c r="G66" s="93"/>
      <c r="H66" s="93"/>
    </row>
    <row r="67" spans="1:8">
      <c r="A67" s="93"/>
      <c r="B67" s="93"/>
      <c r="C67" s="93"/>
      <c r="D67" s="93"/>
      <c r="E67" s="93"/>
      <c r="F67" s="93"/>
      <c r="G67" s="93"/>
      <c r="H67" s="93"/>
    </row>
    <row r="68" spans="1:8">
      <c r="A68" s="93"/>
      <c r="B68" s="93"/>
      <c r="C68" s="93"/>
      <c r="D68" s="93"/>
      <c r="E68" s="93"/>
      <c r="F68" s="93"/>
      <c r="G68" s="93"/>
      <c r="H68" s="93"/>
    </row>
    <row r="69" spans="1:8">
      <c r="A69" s="93"/>
      <c r="B69" s="93"/>
      <c r="C69" s="93"/>
      <c r="D69" s="93"/>
      <c r="E69" s="93"/>
      <c r="F69" s="93"/>
      <c r="G69" s="93"/>
      <c r="H69" s="93"/>
    </row>
    <row r="70" spans="1:8">
      <c r="A70" s="93"/>
      <c r="B70" s="93"/>
      <c r="C70" s="93"/>
      <c r="D70" s="93"/>
      <c r="E70" s="93"/>
      <c r="F70" s="93"/>
      <c r="G70" s="93"/>
      <c r="H70" s="93"/>
    </row>
    <row r="71" spans="1:8">
      <c r="A71" s="93"/>
      <c r="B71" s="93"/>
      <c r="C71" s="93"/>
      <c r="D71" s="93"/>
      <c r="E71" s="93"/>
      <c r="F71" s="93"/>
      <c r="G71" s="93"/>
      <c r="H71" s="93"/>
    </row>
    <row r="72" spans="1:8">
      <c r="A72" s="93"/>
      <c r="B72" s="93"/>
      <c r="C72" s="93"/>
      <c r="D72" s="93"/>
      <c r="E72" s="93"/>
      <c r="F72" s="93"/>
      <c r="G72" s="93"/>
      <c r="H72" s="93"/>
    </row>
    <row r="73" spans="1:8">
      <c r="A73" s="93"/>
      <c r="B73" s="93"/>
      <c r="C73" s="93"/>
      <c r="D73" s="93"/>
      <c r="E73" s="93"/>
      <c r="F73" s="93"/>
      <c r="G73" s="93"/>
      <c r="H73" s="93"/>
    </row>
    <row r="74" spans="1:8">
      <c r="A74" s="93"/>
      <c r="B74" s="93"/>
      <c r="C74" s="93"/>
      <c r="D74" s="93"/>
      <c r="E74" s="93"/>
      <c r="F74" s="93"/>
      <c r="G74" s="93"/>
      <c r="H74" s="93"/>
    </row>
    <row r="75" spans="1:8">
      <c r="A75" s="93"/>
      <c r="B75" s="93"/>
      <c r="C75" s="93"/>
      <c r="D75" s="93"/>
      <c r="E75" s="93"/>
      <c r="F75" s="93"/>
      <c r="G75" s="93"/>
      <c r="H75" s="93"/>
    </row>
    <row r="76" spans="1:8">
      <c r="A76" s="93"/>
      <c r="B76" s="93"/>
      <c r="C76" s="93"/>
      <c r="D76" s="93"/>
      <c r="E76" s="93"/>
      <c r="F76" s="93"/>
      <c r="G76" s="93"/>
      <c r="H76" s="93"/>
    </row>
    <row r="77" spans="1:8">
      <c r="A77" s="93"/>
      <c r="B77" s="93"/>
      <c r="C77" s="93"/>
      <c r="D77" s="93"/>
      <c r="E77" s="93"/>
      <c r="F77" s="93"/>
      <c r="G77" s="93"/>
      <c r="H77" s="93"/>
    </row>
    <row r="78" spans="1:8">
      <c r="A78" s="93"/>
      <c r="B78" s="93"/>
      <c r="C78" s="93"/>
      <c r="D78" s="93"/>
      <c r="E78" s="93"/>
      <c r="F78" s="93"/>
      <c r="G78" s="93"/>
      <c r="H78" s="93"/>
    </row>
    <row r="79" spans="1:8">
      <c r="A79" s="93"/>
      <c r="B79" s="93"/>
      <c r="C79" s="93"/>
      <c r="D79" s="93"/>
      <c r="E79" s="93"/>
      <c r="F79" s="93"/>
      <c r="G79" s="93"/>
      <c r="H79" s="93"/>
    </row>
    <row r="80" spans="1:8">
      <c r="A80" s="93"/>
      <c r="B80" s="93"/>
      <c r="C80" s="93"/>
      <c r="D80" s="93"/>
      <c r="E80" s="93"/>
      <c r="F80" s="93"/>
      <c r="G80" s="93"/>
      <c r="H80" s="93"/>
    </row>
    <row r="81" spans="1:8">
      <c r="A81" s="93"/>
      <c r="B81" s="93"/>
      <c r="C81" s="93"/>
      <c r="D81" s="93"/>
      <c r="E81" s="93"/>
      <c r="F81" s="93"/>
      <c r="G81" s="93"/>
      <c r="H81" s="93"/>
    </row>
    <row r="82" spans="1:8">
      <c r="A82" s="93"/>
      <c r="B82" s="93"/>
      <c r="C82" s="93"/>
      <c r="D82" s="93"/>
      <c r="E82" s="93"/>
      <c r="F82" s="93"/>
      <c r="G82" s="93"/>
      <c r="H82" s="93"/>
    </row>
    <row r="83" spans="1:8">
      <c r="A83" s="93"/>
      <c r="B83" s="93"/>
      <c r="C83" s="93"/>
      <c r="D83" s="93"/>
      <c r="E83" s="93"/>
      <c r="F83" s="93"/>
      <c r="G83" s="93"/>
      <c r="H83" s="93"/>
    </row>
    <row r="84" spans="1:8">
      <c r="A84" s="93"/>
      <c r="B84" s="93"/>
      <c r="C84" s="93"/>
      <c r="D84" s="93"/>
      <c r="E84" s="93"/>
      <c r="F84" s="93"/>
      <c r="G84" s="93"/>
      <c r="H84" s="93"/>
    </row>
    <row r="85" spans="1:8">
      <c r="A85" s="93"/>
      <c r="B85" s="93"/>
      <c r="C85" s="93"/>
      <c r="D85" s="93"/>
      <c r="E85" s="93"/>
      <c r="F85" s="93"/>
      <c r="G85" s="93"/>
      <c r="H85" s="93"/>
    </row>
    <row r="86" spans="1:8">
      <c r="A86" s="93"/>
      <c r="B86" s="93"/>
      <c r="C86" s="93"/>
      <c r="D86" s="93"/>
      <c r="E86" s="93"/>
      <c r="F86" s="93"/>
      <c r="G86" s="93"/>
      <c r="H86" s="93"/>
    </row>
    <row r="87" spans="1:8">
      <c r="A87" s="93"/>
      <c r="B87" s="93"/>
      <c r="C87" s="93"/>
      <c r="D87" s="93"/>
      <c r="E87" s="93"/>
      <c r="F87" s="93"/>
      <c r="G87" s="93"/>
      <c r="H87" s="93"/>
    </row>
    <row r="88" spans="1:8">
      <c r="A88" s="93"/>
      <c r="B88" s="93"/>
      <c r="C88" s="93"/>
      <c r="D88" s="93"/>
      <c r="E88" s="93"/>
      <c r="F88" s="93"/>
      <c r="G88" s="93"/>
      <c r="H88" s="93"/>
    </row>
    <row r="89" spans="1:8">
      <c r="A89" s="93"/>
      <c r="B89" s="93"/>
      <c r="C89" s="93"/>
      <c r="D89" s="93"/>
      <c r="E89" s="93"/>
      <c r="F89" s="93"/>
      <c r="G89" s="93"/>
      <c r="H89" s="93"/>
    </row>
    <row r="90" spans="1:8">
      <c r="A90" s="93"/>
      <c r="B90" s="93"/>
      <c r="C90" s="93"/>
      <c r="D90" s="93"/>
      <c r="E90" s="93"/>
      <c r="F90" s="93"/>
      <c r="G90" s="93"/>
      <c r="H90" s="93"/>
    </row>
    <row r="91" spans="1:8">
      <c r="A91" s="93"/>
      <c r="B91" s="93"/>
      <c r="C91" s="93"/>
      <c r="D91" s="93"/>
      <c r="E91" s="93"/>
      <c r="F91" s="93"/>
      <c r="G91" s="93"/>
      <c r="H91" s="93"/>
    </row>
    <row r="92" spans="1:8">
      <c r="A92" s="93"/>
      <c r="B92" s="93"/>
      <c r="C92" s="93"/>
      <c r="D92" s="93"/>
      <c r="E92" s="93"/>
      <c r="F92" s="93"/>
      <c r="G92" s="93"/>
      <c r="H92" s="93"/>
    </row>
    <row r="93" spans="1:8">
      <c r="A93" s="93"/>
      <c r="B93" s="93"/>
      <c r="C93" s="93"/>
      <c r="D93" s="93"/>
      <c r="E93" s="93"/>
      <c r="F93" s="93"/>
      <c r="G93" s="93"/>
      <c r="H93" s="93"/>
    </row>
    <row r="94" spans="1:8">
      <c r="A94" s="93"/>
      <c r="B94" s="93"/>
      <c r="C94" s="93"/>
      <c r="D94" s="93"/>
      <c r="E94" s="93"/>
      <c r="F94" s="93"/>
      <c r="G94" s="93"/>
      <c r="H94" s="93"/>
    </row>
    <row r="95" spans="1:8">
      <c r="A95" s="93"/>
      <c r="B95" s="93"/>
      <c r="C95" s="93"/>
      <c r="D95" s="93"/>
      <c r="E95" s="93"/>
      <c r="F95" s="93"/>
      <c r="G95" s="93"/>
      <c r="H95" s="93"/>
    </row>
    <row r="96" spans="1:8">
      <c r="A96" s="93"/>
      <c r="B96" s="93"/>
      <c r="C96" s="93"/>
      <c r="D96" s="93"/>
      <c r="E96" s="93"/>
      <c r="F96" s="93"/>
      <c r="G96" s="93"/>
      <c r="H96" s="93"/>
    </row>
    <row r="97" spans="1:8">
      <c r="A97" s="93"/>
      <c r="B97" s="93"/>
      <c r="C97" s="93"/>
      <c r="D97" s="93"/>
      <c r="E97" s="93"/>
      <c r="F97" s="93"/>
      <c r="G97" s="93"/>
      <c r="H97" s="93"/>
    </row>
    <row r="98" spans="1:8">
      <c r="A98" s="93"/>
      <c r="B98" s="93"/>
      <c r="C98" s="93"/>
      <c r="D98" s="93"/>
      <c r="E98" s="93"/>
      <c r="F98" s="93"/>
      <c r="G98" s="93"/>
      <c r="H98" s="93"/>
    </row>
    <row r="99" spans="1:8">
      <c r="A99" s="93"/>
      <c r="B99" s="93"/>
      <c r="C99" s="93"/>
      <c r="D99" s="93"/>
      <c r="E99" s="93"/>
      <c r="F99" s="93"/>
      <c r="G99" s="93"/>
      <c r="H99" s="93"/>
    </row>
    <row r="100" spans="1:8">
      <c r="A100" s="93"/>
      <c r="B100" s="93"/>
      <c r="C100" s="93"/>
      <c r="D100" s="93"/>
      <c r="E100" s="93"/>
      <c r="F100" s="93"/>
      <c r="G100" s="93"/>
      <c r="H100" s="93"/>
    </row>
    <row r="101" spans="1:8">
      <c r="A101" s="93"/>
      <c r="B101" s="93"/>
      <c r="C101" s="93"/>
      <c r="D101" s="93"/>
      <c r="E101" s="93"/>
      <c r="F101" s="93"/>
      <c r="G101" s="93"/>
      <c r="H101" s="93"/>
    </row>
    <row r="102" spans="1:8">
      <c r="A102" s="93"/>
      <c r="B102" s="93"/>
      <c r="C102" s="93"/>
      <c r="D102" s="93"/>
      <c r="E102" s="93"/>
      <c r="F102" s="93"/>
      <c r="G102" s="93"/>
      <c r="H102" s="93"/>
    </row>
    <row r="103" spans="1:8">
      <c r="A103" s="93"/>
      <c r="B103" s="93"/>
      <c r="C103" s="93"/>
      <c r="D103" s="93"/>
      <c r="E103" s="93"/>
      <c r="F103" s="93"/>
      <c r="G103" s="93"/>
      <c r="H103" s="93"/>
    </row>
    <row r="104" spans="1:8">
      <c r="A104" s="93"/>
      <c r="B104" s="93"/>
      <c r="C104" s="93"/>
      <c r="D104" s="93"/>
      <c r="E104" s="93"/>
      <c r="F104" s="93"/>
      <c r="G104" s="93"/>
      <c r="H104" s="93"/>
    </row>
    <row r="105" spans="1:8">
      <c r="A105" s="93"/>
      <c r="B105" s="93"/>
      <c r="C105" s="93"/>
      <c r="D105" s="93"/>
      <c r="E105" s="93"/>
      <c r="F105" s="93"/>
      <c r="G105" s="93"/>
      <c r="H105" s="93"/>
    </row>
    <row r="106" spans="1:8">
      <c r="A106" s="93"/>
      <c r="B106" s="93"/>
      <c r="C106" s="93"/>
      <c r="D106" s="93"/>
      <c r="E106" s="93"/>
      <c r="F106" s="93"/>
      <c r="G106" s="93"/>
      <c r="H106" s="93"/>
    </row>
    <row r="107" spans="1:8">
      <c r="A107" s="93"/>
      <c r="B107" s="93"/>
      <c r="C107" s="93"/>
      <c r="D107" s="93"/>
      <c r="E107" s="93"/>
      <c r="F107" s="93"/>
      <c r="G107" s="93"/>
      <c r="H107" s="93"/>
    </row>
    <row r="108" spans="1:8">
      <c r="A108" s="93"/>
      <c r="B108" s="93"/>
      <c r="C108" s="93"/>
      <c r="D108" s="93"/>
      <c r="E108" s="93"/>
      <c r="F108" s="93"/>
      <c r="G108" s="93"/>
      <c r="H108" s="93"/>
    </row>
    <row r="109" spans="1:8">
      <c r="A109" s="93"/>
      <c r="B109" s="93"/>
      <c r="C109" s="93"/>
      <c r="D109" s="93"/>
      <c r="E109" s="93"/>
      <c r="F109" s="93"/>
      <c r="G109" s="93"/>
      <c r="H109" s="93"/>
    </row>
    <row r="110" spans="1:8">
      <c r="A110" s="93"/>
      <c r="B110" s="93"/>
      <c r="C110" s="93"/>
      <c r="D110" s="93"/>
      <c r="E110" s="93"/>
      <c r="F110" s="93"/>
      <c r="G110" s="93"/>
      <c r="H110" s="93"/>
    </row>
    <row r="111" spans="1:8">
      <c r="A111" s="93"/>
      <c r="B111" s="93"/>
      <c r="C111" s="93"/>
      <c r="D111" s="93"/>
      <c r="E111" s="93"/>
      <c r="F111" s="93"/>
      <c r="G111" s="93"/>
      <c r="H111" s="93"/>
    </row>
    <row r="112" spans="1:8">
      <c r="A112" s="93"/>
      <c r="B112" s="93"/>
      <c r="C112" s="93"/>
      <c r="D112" s="93"/>
      <c r="E112" s="93"/>
      <c r="F112" s="93"/>
      <c r="G112" s="93"/>
      <c r="H112" s="93"/>
    </row>
    <row r="113" spans="1:8">
      <c r="A113" s="93"/>
      <c r="B113" s="93"/>
      <c r="C113" s="93"/>
      <c r="D113" s="93"/>
      <c r="E113" s="93"/>
      <c r="F113" s="93"/>
      <c r="G113" s="93"/>
      <c r="H113" s="93"/>
    </row>
    <row r="114" spans="1:8">
      <c r="A114" s="93"/>
      <c r="B114" s="93"/>
      <c r="C114" s="93"/>
      <c r="D114" s="93"/>
      <c r="E114" s="93"/>
      <c r="F114" s="93"/>
      <c r="G114" s="93"/>
      <c r="H114" s="93"/>
    </row>
    <row r="115" spans="1:8">
      <c r="A115" s="93"/>
      <c r="B115" s="93"/>
      <c r="C115" s="93"/>
      <c r="D115" s="93"/>
      <c r="E115" s="93"/>
      <c r="F115" s="93"/>
      <c r="G115" s="93"/>
      <c r="H115" s="93"/>
    </row>
    <row r="116" spans="1:8">
      <c r="A116" s="93"/>
      <c r="B116" s="93"/>
      <c r="C116" s="93"/>
      <c r="D116" s="93"/>
      <c r="E116" s="93"/>
      <c r="F116" s="93"/>
      <c r="G116" s="93"/>
      <c r="H116" s="93"/>
    </row>
    <row r="117" spans="1:8">
      <c r="A117" s="93"/>
      <c r="B117" s="93"/>
      <c r="C117" s="93"/>
      <c r="D117" s="93"/>
      <c r="E117" s="93"/>
      <c r="F117" s="93"/>
      <c r="G117" s="93"/>
      <c r="H117" s="93"/>
    </row>
    <row r="118" spans="1:8">
      <c r="A118" s="93"/>
      <c r="B118" s="93"/>
      <c r="C118" s="93"/>
      <c r="D118" s="93"/>
      <c r="E118" s="93"/>
      <c r="F118" s="93"/>
      <c r="G118" s="93"/>
      <c r="H118" s="93"/>
    </row>
    <row r="119" spans="1:8">
      <c r="A119" s="93"/>
      <c r="B119" s="93"/>
      <c r="C119" s="93"/>
      <c r="D119" s="93"/>
      <c r="E119" s="93"/>
      <c r="F119" s="93"/>
      <c r="G119" s="93"/>
      <c r="H119" s="93"/>
    </row>
    <row r="120" spans="1:8">
      <c r="A120" s="93"/>
      <c r="B120" s="93"/>
      <c r="C120" s="93"/>
      <c r="D120" s="93"/>
      <c r="E120" s="93"/>
      <c r="F120" s="93"/>
      <c r="G120" s="93"/>
      <c r="H120" s="93"/>
    </row>
    <row r="121" spans="1:8">
      <c r="A121" s="93"/>
      <c r="B121" s="93"/>
      <c r="C121" s="93"/>
      <c r="D121" s="93"/>
      <c r="E121" s="93"/>
      <c r="F121" s="93"/>
      <c r="G121" s="93"/>
      <c r="H121" s="93"/>
    </row>
    <row r="122" spans="1:8">
      <c r="A122" s="93"/>
      <c r="B122" s="93"/>
      <c r="C122" s="93"/>
      <c r="D122" s="93"/>
      <c r="E122" s="93"/>
      <c r="F122" s="93"/>
      <c r="G122" s="93"/>
      <c r="H122" s="93"/>
    </row>
    <row r="123" spans="1:8">
      <c r="A123" s="93"/>
      <c r="B123" s="93"/>
      <c r="C123" s="93"/>
      <c r="D123" s="93"/>
      <c r="E123" s="93"/>
      <c r="F123" s="93"/>
      <c r="G123" s="93"/>
      <c r="H123" s="93"/>
    </row>
    <row r="124" spans="1:8">
      <c r="A124" s="93"/>
      <c r="B124" s="93"/>
      <c r="C124" s="93"/>
      <c r="D124" s="93"/>
      <c r="E124" s="93"/>
      <c r="F124" s="93"/>
      <c r="G124" s="93"/>
      <c r="H124" s="93"/>
    </row>
    <row r="125" spans="1:8">
      <c r="A125" s="93"/>
      <c r="B125" s="93"/>
      <c r="C125" s="93"/>
      <c r="D125" s="93"/>
      <c r="E125" s="93"/>
      <c r="F125" s="93"/>
      <c r="G125" s="93"/>
      <c r="H125" s="93"/>
    </row>
    <row r="126" spans="1:8">
      <c r="A126" s="93"/>
      <c r="B126" s="93"/>
      <c r="C126" s="93"/>
      <c r="D126" s="93"/>
      <c r="E126" s="93"/>
      <c r="F126" s="93"/>
      <c r="G126" s="93"/>
      <c r="H126" s="93"/>
    </row>
    <row r="127" spans="1:8">
      <c r="A127" s="93"/>
      <c r="B127" s="93"/>
      <c r="C127" s="93"/>
      <c r="D127" s="93"/>
      <c r="E127" s="93"/>
      <c r="F127" s="93"/>
      <c r="G127" s="93"/>
      <c r="H127" s="93"/>
    </row>
    <row r="128" spans="1:8">
      <c r="A128" s="93"/>
      <c r="B128" s="93"/>
      <c r="C128" s="93"/>
      <c r="D128" s="93"/>
      <c r="E128" s="93"/>
      <c r="F128" s="93"/>
      <c r="G128" s="93"/>
      <c r="H128" s="93"/>
    </row>
    <row r="129" spans="1:8">
      <c r="A129" s="93"/>
      <c r="B129" s="93"/>
      <c r="C129" s="93"/>
      <c r="D129" s="93"/>
      <c r="E129" s="93"/>
      <c r="F129" s="93"/>
      <c r="G129" s="93"/>
      <c r="H129" s="93"/>
    </row>
    <row r="130" spans="1:8">
      <c r="A130" s="93"/>
      <c r="B130" s="93"/>
      <c r="C130" s="93"/>
      <c r="D130" s="93"/>
      <c r="E130" s="93"/>
      <c r="F130" s="93"/>
      <c r="G130" s="93"/>
      <c r="H130" s="93"/>
    </row>
    <row r="131" spans="1:8">
      <c r="A131" s="93"/>
      <c r="B131" s="93"/>
      <c r="C131" s="93"/>
      <c r="D131" s="93"/>
      <c r="E131" s="93"/>
      <c r="F131" s="93"/>
      <c r="G131" s="93"/>
      <c r="H131" s="93"/>
    </row>
    <row r="132" spans="1:8">
      <c r="A132" s="93"/>
      <c r="B132" s="93"/>
      <c r="C132" s="93"/>
      <c r="D132" s="93"/>
      <c r="E132" s="93"/>
      <c r="F132" s="93"/>
      <c r="G132" s="93"/>
      <c r="H132" s="93"/>
    </row>
    <row r="133" spans="1:8">
      <c r="A133" s="93"/>
      <c r="B133" s="93"/>
      <c r="C133" s="93"/>
      <c r="D133" s="93"/>
      <c r="E133" s="93"/>
      <c r="F133" s="93"/>
      <c r="G133" s="93"/>
      <c r="H133" s="93"/>
    </row>
    <row r="134" spans="1:8">
      <c r="A134" s="93"/>
      <c r="B134" s="93"/>
      <c r="C134" s="93"/>
      <c r="D134" s="93"/>
      <c r="E134" s="93"/>
      <c r="F134" s="93"/>
      <c r="G134" s="93"/>
      <c r="H134" s="93"/>
    </row>
    <row r="135" spans="1:8">
      <c r="A135" s="93"/>
      <c r="B135" s="93"/>
      <c r="C135" s="93"/>
      <c r="D135" s="93"/>
      <c r="E135" s="93"/>
      <c r="F135" s="93"/>
      <c r="G135" s="93"/>
      <c r="H135" s="93"/>
    </row>
    <row r="136" spans="1:8">
      <c r="A136" s="93"/>
      <c r="B136" s="93"/>
      <c r="C136" s="93"/>
      <c r="D136" s="93"/>
      <c r="E136" s="93"/>
      <c r="F136" s="93"/>
      <c r="G136" s="93"/>
      <c r="H136" s="93"/>
    </row>
    <row r="137" spans="1:8">
      <c r="A137" s="93"/>
      <c r="B137" s="93"/>
      <c r="C137" s="93"/>
      <c r="D137" s="93"/>
      <c r="E137" s="93"/>
      <c r="F137" s="93"/>
      <c r="G137" s="93"/>
      <c r="H137" s="93"/>
    </row>
    <row r="138" spans="1:8">
      <c r="A138" s="93"/>
      <c r="B138" s="93"/>
      <c r="C138" s="93"/>
      <c r="D138" s="93"/>
      <c r="E138" s="93"/>
      <c r="F138" s="93"/>
      <c r="G138" s="93"/>
      <c r="H138" s="93"/>
    </row>
    <row r="139" spans="1:8">
      <c r="A139" s="93"/>
      <c r="B139" s="93"/>
      <c r="C139" s="93"/>
      <c r="D139" s="93"/>
      <c r="E139" s="93"/>
      <c r="F139" s="93"/>
      <c r="G139" s="93"/>
      <c r="H139" s="93"/>
    </row>
    <row r="140" spans="1:8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showGridLines="0" showZeros="0" topLeftCell="A12" zoomScaleNormal="100" workbookViewId="0">
      <selection activeCell="G19" sqref="G19"/>
    </sheetView>
  </sheetViews>
  <sheetFormatPr defaultColWidth="8.7109375" defaultRowHeight="12.75"/>
  <cols>
    <col min="1" max="1" width="29.7109375" style="93" customWidth="1"/>
    <col min="2" max="4" width="6.42578125" style="93" customWidth="1"/>
    <col min="5" max="5" width="11.85546875" style="93" customWidth="1"/>
    <col min="6" max="14" width="11.42578125" style="93" customWidth="1"/>
    <col min="15" max="16384" width="8.7109375" style="93"/>
  </cols>
  <sheetData>
    <row r="1" spans="1:11" ht="13.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Portugal OutofTrack</v>
      </c>
    </row>
    <row r="2" spans="1:11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60" t="s">
        <v>72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>
      <c r="A7" s="81"/>
      <c r="B7" s="120"/>
      <c r="C7" s="120"/>
      <c r="D7" s="120"/>
      <c r="E7" s="104"/>
      <c r="F7" s="80">
        <f>+VN!C8</f>
        <v>2012</v>
      </c>
      <c r="G7" s="80">
        <f>+VN!D8</f>
        <v>2013</v>
      </c>
      <c r="H7" s="80">
        <f>+VN!E8</f>
        <v>2014</v>
      </c>
      <c r="I7" s="80">
        <f>+VN!F8</f>
        <v>2015</v>
      </c>
      <c r="J7" s="80">
        <f>+VN!G8</f>
        <v>2016</v>
      </c>
      <c r="K7" s="80">
        <f>+VN!H8</f>
        <v>2017</v>
      </c>
    </row>
    <row r="8" spans="1:11">
      <c r="A8" s="121" t="s">
        <v>34</v>
      </c>
      <c r="B8" s="122"/>
      <c r="C8" s="122"/>
      <c r="D8" s="122"/>
      <c r="E8" s="124"/>
      <c r="F8" s="54">
        <v>3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>
      <c r="A12" s="81"/>
      <c r="B12" s="80" t="s">
        <v>145</v>
      </c>
      <c r="C12" s="80" t="s">
        <v>3</v>
      </c>
      <c r="D12" s="80" t="s">
        <v>415</v>
      </c>
      <c r="E12" s="80" t="s">
        <v>75</v>
      </c>
      <c r="F12" s="423">
        <f>+VN!C8</f>
        <v>2012</v>
      </c>
      <c r="G12" s="423">
        <f>+VN!D8</f>
        <v>2013</v>
      </c>
      <c r="H12" s="423">
        <f>+VN!E8</f>
        <v>2014</v>
      </c>
      <c r="I12" s="423">
        <f>+VN!F8</f>
        <v>2015</v>
      </c>
      <c r="J12" s="423">
        <f>+VN!G8</f>
        <v>2016</v>
      </c>
      <c r="K12" s="423">
        <f>+VN!H8</f>
        <v>2017</v>
      </c>
    </row>
    <row r="13" spans="1:11">
      <c r="A13" s="126" t="s">
        <v>30</v>
      </c>
      <c r="B13" s="37">
        <v>0.23</v>
      </c>
      <c r="C13" s="424">
        <f>100%-D13</f>
        <v>1</v>
      </c>
      <c r="D13" s="37"/>
      <c r="E13" s="425"/>
      <c r="F13" s="441">
        <f>E13*$F$8</f>
        <v>0</v>
      </c>
      <c r="G13" s="441">
        <f>+E13*$G$8*(1+$G$9)</f>
        <v>0</v>
      </c>
      <c r="H13" s="441">
        <f>+G13*(1+$H$9)</f>
        <v>0</v>
      </c>
      <c r="I13" s="441">
        <f>+H13*(1+$I$9)</f>
        <v>0</v>
      </c>
      <c r="J13" s="441">
        <f>+I13*(1+$J$9)</f>
        <v>0</v>
      </c>
      <c r="K13" s="441">
        <f>+J13*(1+$K$9)</f>
        <v>0</v>
      </c>
    </row>
    <row r="14" spans="1:11">
      <c r="A14" s="127" t="s">
        <v>339</v>
      </c>
      <c r="B14" s="125"/>
      <c r="C14" s="424"/>
      <c r="D14" s="125"/>
      <c r="E14" s="426"/>
      <c r="F14" s="442"/>
      <c r="G14" s="442"/>
      <c r="H14" s="442"/>
      <c r="I14" s="442"/>
      <c r="J14" s="442"/>
      <c r="K14" s="442"/>
    </row>
    <row r="15" spans="1:11">
      <c r="A15" s="351" t="s">
        <v>199</v>
      </c>
      <c r="B15" s="37">
        <v>0.23</v>
      </c>
      <c r="C15" s="424">
        <f t="shared" ref="C15:C42" si="0">100%-D15</f>
        <v>1</v>
      </c>
      <c r="D15" s="37"/>
      <c r="E15" s="425"/>
      <c r="F15" s="441">
        <f>E15*$F$8</f>
        <v>0</v>
      </c>
      <c r="G15" s="441">
        <f>+E15*$G$8*(1+$G$9)</f>
        <v>0</v>
      </c>
      <c r="H15" s="441">
        <f t="shared" ref="H15:H20" si="1">+G15*(1+$H$9)</f>
        <v>0</v>
      </c>
      <c r="I15" s="441">
        <f t="shared" ref="I15:I42" si="2">+H15*(1+$I$9)</f>
        <v>0</v>
      </c>
      <c r="J15" s="441">
        <f t="shared" ref="J15:J42" si="3">+I15*(1+$J$9)</f>
        <v>0</v>
      </c>
      <c r="K15" s="441">
        <f t="shared" ref="K15:K42" si="4">+J15*(1+$K$9)</f>
        <v>0</v>
      </c>
    </row>
    <row r="16" spans="1:11">
      <c r="A16" s="351" t="s">
        <v>44</v>
      </c>
      <c r="B16" s="37">
        <v>0.23</v>
      </c>
      <c r="C16" s="424">
        <f t="shared" si="0"/>
        <v>1</v>
      </c>
      <c r="D16" s="37"/>
      <c r="E16" s="425"/>
      <c r="F16" s="441">
        <v>5000</v>
      </c>
      <c r="G16" s="441">
        <v>20000</v>
      </c>
      <c r="H16" s="441">
        <f>+G16*1.4</f>
        <v>28000</v>
      </c>
      <c r="I16" s="441">
        <f>+H16*1.1</f>
        <v>30800.000000000004</v>
      </c>
      <c r="J16" s="441">
        <f>+I16*1.05</f>
        <v>32340.000000000004</v>
      </c>
      <c r="K16" s="441">
        <f>+J16*1.05</f>
        <v>33957.000000000007</v>
      </c>
    </row>
    <row r="17" spans="1:11">
      <c r="A17" s="351" t="s">
        <v>198</v>
      </c>
      <c r="B17" s="37">
        <v>0.23</v>
      </c>
      <c r="C17" s="424">
        <f t="shared" si="0"/>
        <v>1</v>
      </c>
      <c r="D17" s="37"/>
      <c r="E17" s="425"/>
      <c r="F17" s="441">
        <f>E17*$F$8</f>
        <v>0</v>
      </c>
      <c r="G17" s="441">
        <f>+E17*$G$8*(1+$G$9)</f>
        <v>0</v>
      </c>
      <c r="H17" s="441">
        <f t="shared" si="1"/>
        <v>0</v>
      </c>
      <c r="I17" s="441">
        <f>+H17*(1+$I$9)</f>
        <v>0</v>
      </c>
      <c r="J17" s="441">
        <f>+I17*(1+$J$9)</f>
        <v>0</v>
      </c>
      <c r="K17" s="441">
        <f>+J17*(1+$K$9)</f>
        <v>0</v>
      </c>
    </row>
    <row r="18" spans="1:11">
      <c r="A18" s="351" t="s">
        <v>46</v>
      </c>
      <c r="B18" s="37">
        <v>0.23</v>
      </c>
      <c r="C18" s="424">
        <f t="shared" si="0"/>
        <v>1</v>
      </c>
      <c r="D18" s="37"/>
      <c r="E18" s="425"/>
      <c r="F18" s="441">
        <f>200*3</f>
        <v>600</v>
      </c>
      <c r="G18" s="441">
        <f>+F18*4</f>
        <v>2400</v>
      </c>
      <c r="H18" s="441">
        <f t="shared" si="1"/>
        <v>2472</v>
      </c>
      <c r="I18" s="441">
        <f>+H18*(1+$I$9)</f>
        <v>2546.16</v>
      </c>
      <c r="J18" s="441">
        <f>+I18*(1+$J$9)</f>
        <v>2622.5448000000001</v>
      </c>
      <c r="K18" s="441">
        <f>+J18*(1+$K$9)</f>
        <v>2701.2211440000001</v>
      </c>
    </row>
    <row r="19" spans="1:11">
      <c r="A19" s="351" t="s">
        <v>32</v>
      </c>
      <c r="B19" s="37">
        <v>0.23</v>
      </c>
      <c r="C19" s="424">
        <f t="shared" si="0"/>
        <v>1</v>
      </c>
      <c r="D19" s="37"/>
      <c r="E19" s="425"/>
      <c r="F19" s="441">
        <f>E19*$F$8</f>
        <v>0</v>
      </c>
      <c r="G19" s="441">
        <f>+E19*$G$8*(1+$G$9)</f>
        <v>0</v>
      </c>
      <c r="H19" s="441">
        <f t="shared" si="1"/>
        <v>0</v>
      </c>
      <c r="I19" s="441">
        <f>+H19*(1+$I$9)</f>
        <v>0</v>
      </c>
      <c r="J19" s="441">
        <f>+I19*(1+$J$9)</f>
        <v>0</v>
      </c>
      <c r="K19" s="441">
        <f>+J19*(1+$K$9)</f>
        <v>0</v>
      </c>
    </row>
    <row r="20" spans="1:11">
      <c r="A20" s="351" t="s">
        <v>43</v>
      </c>
      <c r="B20" s="37">
        <v>0.23</v>
      </c>
      <c r="C20" s="424">
        <f t="shared" si="0"/>
        <v>1</v>
      </c>
      <c r="D20" s="37"/>
      <c r="E20" s="425"/>
      <c r="F20" s="441">
        <f>E20*$F$8</f>
        <v>0</v>
      </c>
      <c r="G20" s="441">
        <f>+E20*$G$8*(1+$G$9)</f>
        <v>0</v>
      </c>
      <c r="H20" s="441">
        <f t="shared" si="1"/>
        <v>0</v>
      </c>
      <c r="I20" s="441">
        <f>+H20*(1+$I$9)</f>
        <v>0</v>
      </c>
      <c r="J20" s="441">
        <f>+I20*(1+$J$9)</f>
        <v>0</v>
      </c>
      <c r="K20" s="441">
        <f>+J20*(1+$K$9)</f>
        <v>0</v>
      </c>
    </row>
    <row r="21" spans="1:11">
      <c r="A21" s="127" t="s">
        <v>340</v>
      </c>
      <c r="B21" s="125"/>
      <c r="C21" s="424"/>
      <c r="D21" s="125"/>
      <c r="E21" s="426"/>
      <c r="F21" s="442"/>
      <c r="G21" s="442"/>
      <c r="H21" s="442"/>
      <c r="I21" s="442"/>
      <c r="J21" s="442"/>
      <c r="K21" s="442"/>
    </row>
    <row r="22" spans="1:11">
      <c r="A22" s="351" t="s">
        <v>341</v>
      </c>
      <c r="B22" s="37">
        <v>0.23</v>
      </c>
      <c r="C22" s="424">
        <f t="shared" si="0"/>
        <v>1</v>
      </c>
      <c r="D22" s="37"/>
      <c r="E22" s="425"/>
      <c r="F22" s="441">
        <v>200</v>
      </c>
      <c r="G22" s="441">
        <f>+F22*4</f>
        <v>800</v>
      </c>
      <c r="H22" s="441">
        <f>+G22*(1+$H$9)</f>
        <v>824</v>
      </c>
      <c r="I22" s="441">
        <f t="shared" si="2"/>
        <v>848.72</v>
      </c>
      <c r="J22" s="441">
        <f t="shared" si="3"/>
        <v>874.1816</v>
      </c>
      <c r="K22" s="441">
        <f t="shared" si="4"/>
        <v>900.40704800000003</v>
      </c>
    </row>
    <row r="23" spans="1:11">
      <c r="A23" s="351" t="s">
        <v>342</v>
      </c>
      <c r="B23" s="37">
        <v>0.23</v>
      </c>
      <c r="C23" s="424">
        <f t="shared" si="0"/>
        <v>1</v>
      </c>
      <c r="D23" s="37"/>
      <c r="E23" s="425"/>
      <c r="F23" s="441">
        <v>100</v>
      </c>
      <c r="G23" s="441">
        <f>+F23*4</f>
        <v>400</v>
      </c>
      <c r="H23" s="441">
        <f>+G23*(1+$H$9)</f>
        <v>412</v>
      </c>
      <c r="I23" s="441">
        <f t="shared" si="2"/>
        <v>424.36</v>
      </c>
      <c r="J23" s="441">
        <f t="shared" si="3"/>
        <v>437.0908</v>
      </c>
      <c r="K23" s="441">
        <f t="shared" si="4"/>
        <v>450.20352400000002</v>
      </c>
    </row>
    <row r="24" spans="1:11">
      <c r="A24" s="351" t="s">
        <v>197</v>
      </c>
      <c r="B24" s="37">
        <v>0.23</v>
      </c>
      <c r="C24" s="424">
        <f t="shared" si="0"/>
        <v>1</v>
      </c>
      <c r="D24" s="37"/>
      <c r="E24" s="425"/>
      <c r="F24" s="441">
        <v>100</v>
      </c>
      <c r="G24" s="441">
        <f>+F24*4</f>
        <v>400</v>
      </c>
      <c r="H24" s="441">
        <f>+G24*(1+$H$9)</f>
        <v>412</v>
      </c>
      <c r="I24" s="441">
        <f t="shared" si="2"/>
        <v>424.36</v>
      </c>
      <c r="J24" s="441">
        <f t="shared" si="3"/>
        <v>437.0908</v>
      </c>
      <c r="K24" s="441">
        <f t="shared" si="4"/>
        <v>450.20352400000002</v>
      </c>
    </row>
    <row r="25" spans="1:11">
      <c r="A25" s="351" t="s">
        <v>36</v>
      </c>
      <c r="B25" s="37">
        <v>0.23</v>
      </c>
      <c r="C25" s="424">
        <f t="shared" si="0"/>
        <v>1</v>
      </c>
      <c r="D25" s="37"/>
      <c r="E25" s="425"/>
      <c r="F25" s="441">
        <v>300</v>
      </c>
      <c r="G25" s="441">
        <f>+F25*4</f>
        <v>1200</v>
      </c>
      <c r="H25" s="441">
        <f>+G25*(1+$H$9)</f>
        <v>1236</v>
      </c>
      <c r="I25" s="441">
        <f t="shared" si="2"/>
        <v>1273.08</v>
      </c>
      <c r="J25" s="441">
        <f t="shared" si="3"/>
        <v>1311.2724000000001</v>
      </c>
      <c r="K25" s="441">
        <f t="shared" si="4"/>
        <v>1350.610572</v>
      </c>
    </row>
    <row r="26" spans="1:11">
      <c r="A26" s="127" t="s">
        <v>343</v>
      </c>
      <c r="B26" s="125"/>
      <c r="C26" s="424"/>
      <c r="D26" s="125"/>
      <c r="E26" s="426"/>
      <c r="F26" s="442"/>
      <c r="G26" s="442"/>
      <c r="H26" s="442"/>
      <c r="I26" s="442"/>
      <c r="J26" s="442"/>
      <c r="K26" s="442"/>
    </row>
    <row r="27" spans="1:11">
      <c r="A27" s="351" t="s">
        <v>35</v>
      </c>
      <c r="B27" s="37">
        <v>0.23</v>
      </c>
      <c r="C27" s="424">
        <f t="shared" si="0"/>
        <v>1</v>
      </c>
      <c r="D27" s="37"/>
      <c r="E27" s="425"/>
      <c r="F27" s="441">
        <f>3*60</f>
        <v>180</v>
      </c>
      <c r="G27" s="441">
        <f>+F27*4</f>
        <v>720</v>
      </c>
      <c r="H27" s="441">
        <f>+G27*(1+$H$9)</f>
        <v>741.6</v>
      </c>
      <c r="I27" s="441">
        <f t="shared" si="2"/>
        <v>763.84800000000007</v>
      </c>
      <c r="J27" s="441">
        <f t="shared" si="3"/>
        <v>786.76344000000006</v>
      </c>
      <c r="K27" s="441">
        <f t="shared" si="4"/>
        <v>810.36634320000007</v>
      </c>
    </row>
    <row r="28" spans="1:11">
      <c r="A28" s="351" t="s">
        <v>344</v>
      </c>
      <c r="B28" s="37">
        <v>0.23</v>
      </c>
      <c r="C28" s="424">
        <f t="shared" si="0"/>
        <v>1</v>
      </c>
      <c r="D28" s="37"/>
      <c r="E28" s="425"/>
      <c r="F28" s="441">
        <f>3*150</f>
        <v>450</v>
      </c>
      <c r="G28" s="441">
        <f>+F28*4</f>
        <v>1800</v>
      </c>
      <c r="H28" s="441">
        <f>+G28*(1+$H$9)</f>
        <v>1854</v>
      </c>
      <c r="I28" s="441">
        <f t="shared" si="2"/>
        <v>1909.6200000000001</v>
      </c>
      <c r="J28" s="441">
        <f t="shared" si="3"/>
        <v>1966.9086000000002</v>
      </c>
      <c r="K28" s="441">
        <f t="shared" si="4"/>
        <v>2025.9158580000003</v>
      </c>
    </row>
    <row r="29" spans="1:11">
      <c r="A29" s="351" t="s">
        <v>345</v>
      </c>
      <c r="B29" s="37">
        <v>0.05</v>
      </c>
      <c r="C29" s="424">
        <f t="shared" si="0"/>
        <v>1</v>
      </c>
      <c r="D29" s="37"/>
      <c r="E29" s="425"/>
      <c r="F29" s="441">
        <f>3*40</f>
        <v>120</v>
      </c>
      <c r="G29" s="441">
        <f>+F29*4</f>
        <v>480</v>
      </c>
      <c r="H29" s="441">
        <f>+G29*(1+$H$9)</f>
        <v>494.40000000000003</v>
      </c>
      <c r="I29" s="441">
        <f t="shared" si="2"/>
        <v>509.23200000000003</v>
      </c>
      <c r="J29" s="441">
        <f t="shared" si="3"/>
        <v>524.50896</v>
      </c>
      <c r="K29" s="441">
        <f t="shared" si="4"/>
        <v>540.24422879999997</v>
      </c>
    </row>
    <row r="30" spans="1:11">
      <c r="A30" s="127" t="s">
        <v>346</v>
      </c>
      <c r="B30" s="125"/>
      <c r="C30" s="424"/>
      <c r="D30" s="125"/>
      <c r="E30" s="426"/>
      <c r="F30" s="442"/>
      <c r="G30" s="442"/>
      <c r="H30" s="442"/>
      <c r="I30" s="442"/>
      <c r="J30" s="442"/>
      <c r="K30" s="442"/>
    </row>
    <row r="31" spans="1:11">
      <c r="A31" s="351" t="s">
        <v>347</v>
      </c>
      <c r="B31" s="37">
        <v>0.23</v>
      </c>
      <c r="C31" s="424">
        <f t="shared" si="0"/>
        <v>1</v>
      </c>
      <c r="D31" s="37"/>
      <c r="E31" s="425"/>
      <c r="F31" s="441">
        <v>500</v>
      </c>
      <c r="G31" s="441">
        <v>5000</v>
      </c>
      <c r="H31" s="441">
        <v>10000</v>
      </c>
      <c r="I31" s="441">
        <v>15000</v>
      </c>
      <c r="J31" s="441">
        <v>15000</v>
      </c>
      <c r="K31" s="441">
        <v>15000</v>
      </c>
    </row>
    <row r="32" spans="1:11">
      <c r="A32" s="351" t="s">
        <v>348</v>
      </c>
      <c r="B32" s="37">
        <v>0.23</v>
      </c>
      <c r="C32" s="424">
        <f t="shared" si="0"/>
        <v>1</v>
      </c>
      <c r="D32" s="37"/>
      <c r="E32" s="425"/>
      <c r="F32" s="441">
        <f>E32*$F$8</f>
        <v>0</v>
      </c>
      <c r="G32" s="441">
        <f>+E32*$G$8*(1+$G$9)</f>
        <v>0</v>
      </c>
      <c r="H32" s="441">
        <f>+G32*(1+$H$9)</f>
        <v>0</v>
      </c>
      <c r="I32" s="441">
        <f t="shared" si="2"/>
        <v>0</v>
      </c>
      <c r="J32" s="441">
        <f t="shared" si="3"/>
        <v>0</v>
      </c>
      <c r="K32" s="441">
        <f t="shared" si="4"/>
        <v>0</v>
      </c>
    </row>
    <row r="33" spans="1:11">
      <c r="A33" s="351" t="s">
        <v>41</v>
      </c>
      <c r="B33" s="37">
        <v>0.23</v>
      </c>
      <c r="C33" s="424">
        <f t="shared" si="0"/>
        <v>1</v>
      </c>
      <c r="D33" s="37"/>
      <c r="E33" s="425"/>
      <c r="F33" s="441">
        <f>E33*$F$8</f>
        <v>0</v>
      </c>
      <c r="G33" s="441">
        <f>+E33*$G$8*(1+$G$9)</f>
        <v>0</v>
      </c>
      <c r="H33" s="441">
        <f>+G33*(1+$H$9)</f>
        <v>0</v>
      </c>
      <c r="I33" s="441">
        <f t="shared" si="2"/>
        <v>0</v>
      </c>
      <c r="J33" s="441">
        <f t="shared" si="3"/>
        <v>0</v>
      </c>
      <c r="K33" s="441">
        <f t="shared" si="4"/>
        <v>0</v>
      </c>
    </row>
    <row r="34" spans="1:11">
      <c r="A34" s="352" t="s">
        <v>349</v>
      </c>
      <c r="B34" s="125"/>
      <c r="C34" s="424"/>
      <c r="D34" s="125"/>
      <c r="E34" s="426"/>
      <c r="F34" s="442"/>
      <c r="G34" s="442"/>
      <c r="H34" s="442"/>
      <c r="I34" s="442"/>
      <c r="J34" s="442"/>
      <c r="K34" s="442"/>
    </row>
    <row r="35" spans="1:11">
      <c r="A35" s="351" t="s">
        <v>37</v>
      </c>
      <c r="B35" s="37">
        <v>0.23</v>
      </c>
      <c r="C35" s="424">
        <f t="shared" si="0"/>
        <v>1</v>
      </c>
      <c r="D35" s="37"/>
      <c r="E35" s="425"/>
      <c r="F35" s="441">
        <f>E35*$F$8</f>
        <v>0</v>
      </c>
      <c r="G35" s="441">
        <f>+E35*$G$8*(1+$G$9)</f>
        <v>0</v>
      </c>
      <c r="H35" s="441">
        <f t="shared" ref="H35:H42" si="5">+G35*(1+$H$9)</f>
        <v>0</v>
      </c>
      <c r="I35" s="441">
        <f t="shared" si="2"/>
        <v>0</v>
      </c>
      <c r="J35" s="441">
        <f t="shared" si="3"/>
        <v>0</v>
      </c>
      <c r="K35" s="441">
        <f t="shared" si="4"/>
        <v>0</v>
      </c>
    </row>
    <row r="36" spans="1:11">
      <c r="A36" s="351" t="s">
        <v>39</v>
      </c>
      <c r="B36" s="37">
        <v>0.23</v>
      </c>
      <c r="C36" s="424">
        <f t="shared" si="0"/>
        <v>1</v>
      </c>
      <c r="D36" s="37"/>
      <c r="E36" s="425"/>
      <c r="F36" s="441">
        <v>300</v>
      </c>
      <c r="G36" s="441">
        <f>+F36*4</f>
        <v>1200</v>
      </c>
      <c r="H36" s="441">
        <f t="shared" si="5"/>
        <v>1236</v>
      </c>
      <c r="I36" s="441">
        <f t="shared" si="2"/>
        <v>1273.08</v>
      </c>
      <c r="J36" s="441">
        <f t="shared" si="3"/>
        <v>1311.2724000000001</v>
      </c>
      <c r="K36" s="441">
        <f t="shared" si="4"/>
        <v>1350.610572</v>
      </c>
    </row>
    <row r="37" spans="1:11">
      <c r="A37" s="351" t="s">
        <v>40</v>
      </c>
      <c r="B37" s="37">
        <v>0</v>
      </c>
      <c r="C37" s="424">
        <f t="shared" si="0"/>
        <v>1</v>
      </c>
      <c r="D37" s="37"/>
      <c r="E37" s="425"/>
      <c r="F37" s="441">
        <f>E37*$F$8</f>
        <v>0</v>
      </c>
      <c r="G37" s="441">
        <f>+E37*$G$8*(1+$G$9)</f>
        <v>0</v>
      </c>
      <c r="H37" s="441">
        <f t="shared" si="5"/>
        <v>0</v>
      </c>
      <c r="I37" s="441">
        <f t="shared" si="2"/>
        <v>0</v>
      </c>
      <c r="J37" s="441">
        <f t="shared" si="3"/>
        <v>0</v>
      </c>
      <c r="K37" s="441">
        <f t="shared" si="4"/>
        <v>0</v>
      </c>
    </row>
    <row r="38" spans="1:11">
      <c r="A38" s="351" t="s">
        <v>31</v>
      </c>
      <c r="B38" s="37">
        <v>0.23</v>
      </c>
      <c r="C38" s="424">
        <f t="shared" si="0"/>
        <v>1</v>
      </c>
      <c r="D38" s="37"/>
      <c r="E38" s="425"/>
      <c r="F38" s="441">
        <f>E38*$F$8</f>
        <v>0</v>
      </c>
      <c r="G38" s="441">
        <f>+E38*$G$8*(1+$G$9)</f>
        <v>0</v>
      </c>
      <c r="H38" s="441">
        <f t="shared" si="5"/>
        <v>0</v>
      </c>
      <c r="I38" s="441">
        <f t="shared" si="2"/>
        <v>0</v>
      </c>
      <c r="J38" s="441">
        <f t="shared" si="3"/>
        <v>0</v>
      </c>
      <c r="K38" s="441">
        <f t="shared" si="4"/>
        <v>0</v>
      </c>
    </row>
    <row r="39" spans="1:11">
      <c r="A39" s="351" t="s">
        <v>42</v>
      </c>
      <c r="B39" s="37">
        <v>0.23</v>
      </c>
      <c r="C39" s="424">
        <f t="shared" si="0"/>
        <v>1</v>
      </c>
      <c r="D39" s="37"/>
      <c r="E39" s="425"/>
      <c r="F39" s="441">
        <f>E39*$F$8</f>
        <v>0</v>
      </c>
      <c r="G39" s="441">
        <f>+E39*$G$8*(1+$G$9)</f>
        <v>0</v>
      </c>
      <c r="H39" s="441">
        <f t="shared" si="5"/>
        <v>0</v>
      </c>
      <c r="I39" s="441">
        <f t="shared" si="2"/>
        <v>0</v>
      </c>
      <c r="J39" s="441">
        <f t="shared" si="3"/>
        <v>0</v>
      </c>
      <c r="K39" s="441">
        <f t="shared" si="4"/>
        <v>0</v>
      </c>
    </row>
    <row r="40" spans="1:11">
      <c r="A40" s="351" t="s">
        <v>38</v>
      </c>
      <c r="B40" s="37">
        <v>0.23</v>
      </c>
      <c r="C40" s="424">
        <f t="shared" si="0"/>
        <v>1</v>
      </c>
      <c r="D40" s="37"/>
      <c r="E40" s="425"/>
      <c r="F40" s="441">
        <v>300</v>
      </c>
      <c r="G40" s="441">
        <f>+F40*4</f>
        <v>1200</v>
      </c>
      <c r="H40" s="441">
        <f t="shared" si="5"/>
        <v>1236</v>
      </c>
      <c r="I40" s="441">
        <f t="shared" si="2"/>
        <v>1273.08</v>
      </c>
      <c r="J40" s="441">
        <f t="shared" si="3"/>
        <v>1311.2724000000001</v>
      </c>
      <c r="K40" s="441">
        <f t="shared" si="4"/>
        <v>1350.610572</v>
      </c>
    </row>
    <row r="41" spans="1:11">
      <c r="A41" s="351" t="s">
        <v>45</v>
      </c>
      <c r="B41" s="37">
        <v>0.23</v>
      </c>
      <c r="C41" s="424">
        <f t="shared" si="0"/>
        <v>1</v>
      </c>
      <c r="D41" s="37"/>
      <c r="E41" s="425"/>
      <c r="F41" s="441">
        <v>300</v>
      </c>
      <c r="G41" s="441">
        <f>+F41*4</f>
        <v>1200</v>
      </c>
      <c r="H41" s="441">
        <f t="shared" si="5"/>
        <v>1236</v>
      </c>
      <c r="I41" s="441">
        <f t="shared" si="2"/>
        <v>1273.08</v>
      </c>
      <c r="J41" s="441">
        <f t="shared" si="3"/>
        <v>1311.2724000000001</v>
      </c>
      <c r="K41" s="441">
        <f t="shared" si="4"/>
        <v>1350.610572</v>
      </c>
    </row>
    <row r="42" spans="1:11">
      <c r="A42" s="127" t="s">
        <v>350</v>
      </c>
      <c r="B42" s="37">
        <v>0.23</v>
      </c>
      <c r="C42" s="424">
        <f t="shared" si="0"/>
        <v>1</v>
      </c>
      <c r="D42" s="37"/>
      <c r="E42" s="425"/>
      <c r="F42" s="441">
        <f>E42*$F$8</f>
        <v>0</v>
      </c>
      <c r="G42" s="441">
        <f>+E42*$G$8*(1+$G$9)</f>
        <v>0</v>
      </c>
      <c r="H42" s="441">
        <f t="shared" si="5"/>
        <v>0</v>
      </c>
      <c r="I42" s="441">
        <f t="shared" si="2"/>
        <v>0</v>
      </c>
      <c r="J42" s="441">
        <f t="shared" si="3"/>
        <v>0</v>
      </c>
      <c r="K42" s="441">
        <f t="shared" si="4"/>
        <v>0</v>
      </c>
    </row>
    <row r="43" spans="1:11" ht="15" customHeight="1" thickBot="1">
      <c r="A43" s="475" t="s">
        <v>21</v>
      </c>
      <c r="B43" s="476"/>
      <c r="C43" s="476"/>
      <c r="D43" s="476"/>
      <c r="E43" s="477"/>
      <c r="F43" s="427">
        <f t="shared" ref="F43:K43" si="6">SUM(F13:F42)</f>
        <v>8450</v>
      </c>
      <c r="G43" s="427">
        <f t="shared" si="6"/>
        <v>36800</v>
      </c>
      <c r="H43" s="427">
        <f t="shared" si="6"/>
        <v>50154</v>
      </c>
      <c r="I43" s="427">
        <f t="shared" si="6"/>
        <v>58318.620000000017</v>
      </c>
      <c r="J43" s="427">
        <f t="shared" si="6"/>
        <v>60234.178600000014</v>
      </c>
      <c r="K43" s="427">
        <f t="shared" si="6"/>
        <v>62238.003958000001</v>
      </c>
    </row>
    <row r="44" spans="1:11" ht="13.5" thickTop="1">
      <c r="A44" s="83"/>
      <c r="B44" s="83"/>
      <c r="C44" s="83"/>
      <c r="D44" s="83"/>
      <c r="E44" s="83"/>
      <c r="F44" s="428"/>
      <c r="G44" s="428"/>
      <c r="H44" s="428"/>
      <c r="I44" s="428"/>
      <c r="J44" s="428"/>
      <c r="K44" s="428"/>
    </row>
    <row r="45" spans="1:11" ht="14.25" customHeight="1" thickBot="1">
      <c r="A45" s="472" t="s">
        <v>416</v>
      </c>
      <c r="B45" s="473"/>
      <c r="C45" s="473"/>
      <c r="D45" s="473"/>
      <c r="E45" s="421"/>
      <c r="F45" s="429">
        <f t="shared" ref="F45:K45" si="7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8450</v>
      </c>
      <c r="G45" s="429">
        <f t="shared" si="7"/>
        <v>36800</v>
      </c>
      <c r="H45" s="429">
        <f t="shared" si="7"/>
        <v>50154</v>
      </c>
      <c r="I45" s="429">
        <f t="shared" si="7"/>
        <v>58318.620000000017</v>
      </c>
      <c r="J45" s="429">
        <f t="shared" si="7"/>
        <v>60234.178600000014</v>
      </c>
      <c r="K45" s="429">
        <f t="shared" si="7"/>
        <v>62238.003958000001</v>
      </c>
    </row>
    <row r="46" spans="1:11" ht="13.5" thickTop="1">
      <c r="A46" s="422"/>
      <c r="B46" s="422"/>
      <c r="C46" s="422"/>
      <c r="D46" s="422"/>
      <c r="E46" s="422"/>
      <c r="F46" s="428"/>
      <c r="G46" s="428"/>
      <c r="H46" s="428"/>
      <c r="I46" s="428"/>
      <c r="J46" s="428"/>
      <c r="K46" s="428"/>
    </row>
    <row r="47" spans="1:11" ht="13.5" thickBot="1">
      <c r="A47" s="472" t="s">
        <v>417</v>
      </c>
      <c r="B47" s="473"/>
      <c r="C47" s="473"/>
      <c r="D47" s="473"/>
      <c r="E47" s="421"/>
      <c r="F47" s="429">
        <f t="shared" ref="F47:K47" si="8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29">
        <f t="shared" si="8"/>
        <v>0</v>
      </c>
      <c r="H47" s="429">
        <f t="shared" si="8"/>
        <v>0</v>
      </c>
      <c r="I47" s="429">
        <f t="shared" si="8"/>
        <v>0</v>
      </c>
      <c r="J47" s="429">
        <f t="shared" si="8"/>
        <v>0</v>
      </c>
      <c r="K47" s="429">
        <f t="shared" si="8"/>
        <v>0</v>
      </c>
    </row>
    <row r="48" spans="1:11" ht="13.5" thickTop="1">
      <c r="A48" s="422"/>
      <c r="B48" s="422"/>
      <c r="C48" s="422"/>
      <c r="D48" s="422"/>
      <c r="E48" s="422"/>
      <c r="F48" s="428"/>
      <c r="G48" s="428"/>
      <c r="H48" s="428"/>
      <c r="I48" s="428"/>
      <c r="J48" s="428"/>
      <c r="K48" s="428"/>
    </row>
    <row r="49" spans="1:11" ht="13.5" thickBot="1">
      <c r="A49" s="472" t="s">
        <v>418</v>
      </c>
      <c r="B49" s="473"/>
      <c r="C49" s="473"/>
      <c r="D49" s="473"/>
      <c r="E49" s="421"/>
      <c r="F49" s="429">
        <f t="shared" ref="F49:K49" si="9">F45+F47</f>
        <v>8450</v>
      </c>
      <c r="G49" s="429">
        <f t="shared" si="9"/>
        <v>36800</v>
      </c>
      <c r="H49" s="429">
        <f t="shared" si="9"/>
        <v>50154</v>
      </c>
      <c r="I49" s="429">
        <f t="shared" si="9"/>
        <v>58318.620000000017</v>
      </c>
      <c r="J49" s="429">
        <f t="shared" si="9"/>
        <v>60234.178600000014</v>
      </c>
      <c r="K49" s="429">
        <f t="shared" si="9"/>
        <v>62238.003958000001</v>
      </c>
    </row>
    <row r="50" spans="1:11" ht="13.5" thickTop="1">
      <c r="A50" s="422"/>
      <c r="B50" s="422"/>
      <c r="C50" s="422"/>
      <c r="D50" s="422"/>
      <c r="E50" s="422"/>
      <c r="F50" s="428"/>
      <c r="G50" s="428"/>
      <c r="H50" s="428"/>
      <c r="I50" s="428"/>
      <c r="J50" s="428"/>
      <c r="K50" s="428"/>
    </row>
    <row r="51" spans="1:11" ht="13.5" thickBot="1">
      <c r="A51" s="478" t="s">
        <v>64</v>
      </c>
      <c r="B51" s="478"/>
      <c r="C51" s="478"/>
      <c r="D51" s="478"/>
      <c r="E51" s="478"/>
      <c r="F51" s="430">
        <f t="shared" ref="F51:K51" si="10">(F13*$B$13)+(F15*$B$15)+(F16*$B$16)+(F17*$B$17)+(F18*$B$18)+(F19*$B$19)+(F20*$B$20)+(F22*$B$22)+(F23*$B$23)+(F24*$B$24)+(F25*$B$25)+(F27*$B$27)+(F29*$B$29)+(F36*$B$36)+(F41*$B$41)</f>
        <v>1634.4</v>
      </c>
      <c r="G51" s="430">
        <f t="shared" si="10"/>
        <v>6537.6</v>
      </c>
      <c r="H51" s="430">
        <f t="shared" si="10"/>
        <v>8435.728000000001</v>
      </c>
      <c r="I51" s="430">
        <f t="shared" si="10"/>
        <v>9139.5998400000008</v>
      </c>
      <c r="J51" s="430">
        <f t="shared" si="10"/>
        <v>9555.4678351999974</v>
      </c>
      <c r="K51" s="430">
        <f t="shared" si="10"/>
        <v>9990.8958702559994</v>
      </c>
    </row>
    <row r="52" spans="1:11" ht="13.5" thickTop="1">
      <c r="A52" s="422"/>
      <c r="B52" s="422"/>
      <c r="C52" s="422"/>
      <c r="D52" s="422"/>
      <c r="E52" s="422"/>
      <c r="F52" s="428"/>
      <c r="G52" s="428"/>
      <c r="H52" s="428"/>
      <c r="I52" s="428"/>
      <c r="J52" s="428"/>
      <c r="K52" s="428"/>
    </row>
    <row r="53" spans="1:11" ht="13.5" thickBot="1">
      <c r="A53" s="474" t="s">
        <v>62</v>
      </c>
      <c r="B53" s="474"/>
      <c r="C53" s="474"/>
      <c r="D53" s="474"/>
      <c r="E53" s="474"/>
      <c r="F53" s="431">
        <f t="shared" ref="F53:K53" si="11">F43+F51</f>
        <v>10084.4</v>
      </c>
      <c r="G53" s="431">
        <f t="shared" si="11"/>
        <v>43337.599999999999</v>
      </c>
      <c r="H53" s="431">
        <f t="shared" si="11"/>
        <v>58589.728000000003</v>
      </c>
      <c r="I53" s="431">
        <f t="shared" si="11"/>
        <v>67458.21984000002</v>
      </c>
      <c r="J53" s="431">
        <f t="shared" si="11"/>
        <v>69789.646435200004</v>
      </c>
      <c r="K53" s="431">
        <f t="shared" si="11"/>
        <v>72228.899828256006</v>
      </c>
    </row>
    <row r="54" spans="1:11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scale="80" orientation="portrait" r:id="rId1"/>
  <headerFooter alignWithMargins="0">
    <oddFooter>&amp;C&amp;"Arial,Normal"&amp;8IAPMEI&amp;R&amp;"Arial,Normal"&amp;8&amp;P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topLeftCell="A44" zoomScaleNormal="100" workbookViewId="0">
      <selection activeCell="J20" sqref="J20"/>
    </sheetView>
  </sheetViews>
  <sheetFormatPr defaultColWidth="8.7109375" defaultRowHeight="12.75"/>
  <cols>
    <col min="1" max="1" width="25.28515625" style="93" customWidth="1"/>
    <col min="2" max="2" width="5.28515625" style="93" customWidth="1"/>
    <col min="3" max="3" width="12.5703125" style="93" customWidth="1"/>
    <col min="4" max="13" width="11.42578125" style="93" customWidth="1"/>
    <col min="14" max="37" width="11.7109375" style="93" customWidth="1"/>
    <col min="38" max="16384" width="8.7109375" style="93"/>
  </cols>
  <sheetData>
    <row r="1" spans="1:9" ht="13.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Portugal OutofTrack</v>
      </c>
    </row>
    <row r="2" spans="1:9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60" t="s">
        <v>277</v>
      </c>
      <c r="B4" s="460"/>
      <c r="C4" s="460"/>
      <c r="D4" s="460"/>
      <c r="E4" s="460"/>
      <c r="F4" s="460"/>
      <c r="G4" s="460"/>
      <c r="H4" s="460"/>
      <c r="I4" s="460"/>
    </row>
    <row r="5" spans="1:9">
      <c r="A5" s="79"/>
      <c r="B5" s="79"/>
      <c r="C5" s="79"/>
      <c r="D5" s="79"/>
      <c r="E5" s="79"/>
      <c r="F5" s="79"/>
      <c r="G5" s="79"/>
      <c r="H5" s="79"/>
      <c r="I5" s="79"/>
    </row>
    <row r="6" spans="1:9">
      <c r="A6" s="81"/>
      <c r="B6" s="120"/>
      <c r="C6" s="120"/>
      <c r="D6" s="80">
        <f>+VN!C8</f>
        <v>2012</v>
      </c>
      <c r="E6" s="80">
        <f>+VN!D8</f>
        <v>2013</v>
      </c>
      <c r="F6" s="80">
        <f>+VN!E8</f>
        <v>2014</v>
      </c>
      <c r="G6" s="80">
        <f>+VN!F8</f>
        <v>2015</v>
      </c>
      <c r="H6" s="80">
        <f>+VN!G8</f>
        <v>2016</v>
      </c>
      <c r="I6" s="80">
        <f>+VN!H8</f>
        <v>2017</v>
      </c>
    </row>
    <row r="7" spans="1:9">
      <c r="A7" s="121" t="s">
        <v>34</v>
      </c>
      <c r="B7" s="122"/>
      <c r="C7" s="123"/>
      <c r="D7" s="54">
        <v>3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>
      <c r="A8" s="121" t="s">
        <v>189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>
      <c r="A9" s="130"/>
      <c r="B9" s="130"/>
      <c r="C9" s="131"/>
      <c r="D9" s="83"/>
      <c r="E9" s="83"/>
      <c r="F9" s="83"/>
      <c r="G9" s="83"/>
      <c r="H9" s="83"/>
      <c r="I9" s="83"/>
    </row>
    <row r="10" spans="1:9">
      <c r="A10" s="130"/>
      <c r="B10" s="130"/>
      <c r="C10" s="131"/>
      <c r="D10" s="83"/>
      <c r="E10" s="83"/>
      <c r="F10" s="83"/>
      <c r="G10" s="83"/>
      <c r="H10" s="83"/>
      <c r="I10" s="83"/>
    </row>
    <row r="11" spans="1:9">
      <c r="A11" s="482" t="s">
        <v>225</v>
      </c>
      <c r="B11" s="483"/>
      <c r="C11" s="484"/>
      <c r="D11" s="80">
        <f t="shared" ref="D11:I11" si="0">+D6</f>
        <v>2012</v>
      </c>
      <c r="E11" s="80">
        <f t="shared" si="0"/>
        <v>2013</v>
      </c>
      <c r="F11" s="80">
        <f t="shared" si="0"/>
        <v>2014</v>
      </c>
      <c r="G11" s="80">
        <f t="shared" si="0"/>
        <v>2015</v>
      </c>
      <c r="H11" s="80">
        <f t="shared" si="0"/>
        <v>2016</v>
      </c>
      <c r="I11" s="80">
        <f t="shared" si="0"/>
        <v>2017</v>
      </c>
    </row>
    <row r="12" spans="1:9">
      <c r="A12" s="132" t="s">
        <v>226</v>
      </c>
      <c r="B12" s="122"/>
      <c r="C12" s="123"/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>
        <v>1</v>
      </c>
    </row>
    <row r="13" spans="1:9">
      <c r="A13" s="62" t="s">
        <v>227</v>
      </c>
      <c r="B13" s="133"/>
      <c r="C13" s="134"/>
      <c r="D13" s="59"/>
      <c r="E13" s="59"/>
      <c r="F13" s="59"/>
      <c r="G13" s="59">
        <v>1</v>
      </c>
      <c r="H13" s="59">
        <v>1</v>
      </c>
      <c r="I13" s="59">
        <v>1</v>
      </c>
    </row>
    <row r="14" spans="1:9">
      <c r="A14" s="62" t="s">
        <v>228</v>
      </c>
      <c r="B14" s="133"/>
      <c r="C14" s="134"/>
      <c r="D14" s="59">
        <v>1</v>
      </c>
      <c r="E14" s="59">
        <v>1</v>
      </c>
      <c r="F14" s="59">
        <v>1</v>
      </c>
      <c r="G14" s="59">
        <v>2</v>
      </c>
      <c r="H14" s="59">
        <v>3</v>
      </c>
      <c r="I14" s="59">
        <v>3</v>
      </c>
    </row>
    <row r="15" spans="1:9">
      <c r="A15" s="62" t="s">
        <v>229</v>
      </c>
      <c r="B15" s="133"/>
      <c r="C15" s="134"/>
      <c r="D15" s="59">
        <v>1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</row>
    <row r="16" spans="1:9">
      <c r="A16" s="62" t="s">
        <v>230</v>
      </c>
      <c r="B16" s="133"/>
      <c r="C16" s="134"/>
      <c r="D16" s="59"/>
      <c r="E16" s="59"/>
      <c r="F16" s="59"/>
      <c r="G16" s="59"/>
      <c r="H16" s="59"/>
      <c r="I16" s="59"/>
    </row>
    <row r="17" spans="1:9">
      <c r="A17" s="62" t="s">
        <v>231</v>
      </c>
      <c r="B17" s="133"/>
      <c r="C17" s="134"/>
      <c r="D17" s="59"/>
      <c r="E17" s="59"/>
      <c r="F17" s="59"/>
      <c r="G17" s="59"/>
      <c r="H17" s="59"/>
      <c r="I17" s="59"/>
    </row>
    <row r="18" spans="1:9">
      <c r="A18" s="62" t="s">
        <v>232</v>
      </c>
      <c r="B18" s="133"/>
      <c r="C18" s="134"/>
      <c r="D18" s="59"/>
      <c r="E18" s="59"/>
      <c r="F18" s="59"/>
      <c r="G18" s="59"/>
      <c r="H18" s="59"/>
      <c r="I18" s="59"/>
    </row>
    <row r="19" spans="1:9">
      <c r="A19" s="62" t="s">
        <v>233</v>
      </c>
      <c r="B19" s="133"/>
      <c r="C19" s="134"/>
      <c r="D19" s="59"/>
      <c r="E19" s="59"/>
      <c r="F19" s="59"/>
      <c r="G19" s="59"/>
      <c r="H19" s="59"/>
      <c r="I19" s="59"/>
    </row>
    <row r="20" spans="1:9">
      <c r="A20" s="62" t="s">
        <v>234</v>
      </c>
      <c r="B20" s="133"/>
      <c r="C20" s="134"/>
      <c r="D20" s="59"/>
      <c r="E20" s="59">
        <v>1</v>
      </c>
      <c r="F20" s="59">
        <v>2</v>
      </c>
      <c r="G20" s="59">
        <v>2</v>
      </c>
      <c r="H20" s="59">
        <v>3</v>
      </c>
      <c r="I20" s="59">
        <v>3</v>
      </c>
    </row>
    <row r="21" spans="1:9">
      <c r="A21" s="63"/>
      <c r="B21" s="135"/>
      <c r="C21" s="136"/>
      <c r="D21" s="57"/>
      <c r="E21" s="57"/>
      <c r="F21" s="57"/>
      <c r="G21" s="57"/>
      <c r="H21" s="57"/>
      <c r="I21" s="57"/>
    </row>
    <row r="22" spans="1:9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75" t="s">
        <v>48</v>
      </c>
      <c r="B23" s="476"/>
      <c r="C23" s="477"/>
      <c r="D23" s="137">
        <f t="shared" ref="D23:I23" si="1">+SUM(D12:D22)</f>
        <v>3</v>
      </c>
      <c r="E23" s="137">
        <f t="shared" si="1"/>
        <v>4</v>
      </c>
      <c r="F23" s="137">
        <f t="shared" si="1"/>
        <v>5</v>
      </c>
      <c r="G23" s="137">
        <f t="shared" si="1"/>
        <v>7</v>
      </c>
      <c r="H23" s="137">
        <f t="shared" si="1"/>
        <v>9</v>
      </c>
      <c r="I23" s="137">
        <f t="shared" si="1"/>
        <v>9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>
      <c r="A25" s="130"/>
      <c r="B25" s="130"/>
      <c r="C25" s="131"/>
      <c r="D25" s="83"/>
      <c r="E25" s="83"/>
      <c r="F25" s="83"/>
      <c r="G25" s="83"/>
      <c r="H25" s="83"/>
      <c r="I25" s="83"/>
    </row>
    <row r="26" spans="1:9">
      <c r="A26" s="482" t="s">
        <v>235</v>
      </c>
      <c r="B26" s="483"/>
      <c r="C26" s="484"/>
      <c r="D26" s="80">
        <f t="shared" ref="D26:I26" si="2">+D11</f>
        <v>2012</v>
      </c>
      <c r="E26" s="80">
        <f t="shared" si="2"/>
        <v>2013</v>
      </c>
      <c r="F26" s="80">
        <f t="shared" si="2"/>
        <v>2014</v>
      </c>
      <c r="G26" s="80">
        <f t="shared" si="2"/>
        <v>2015</v>
      </c>
      <c r="H26" s="80">
        <f t="shared" si="2"/>
        <v>2016</v>
      </c>
      <c r="I26" s="80">
        <f t="shared" si="2"/>
        <v>2017</v>
      </c>
    </row>
    <row r="27" spans="1:9">
      <c r="A27" s="132" t="str">
        <f>+A12</f>
        <v>Administração / Direcção</v>
      </c>
      <c r="B27" s="122"/>
      <c r="C27" s="123"/>
      <c r="D27" s="60"/>
      <c r="E27" s="60"/>
      <c r="F27" s="60">
        <v>2500</v>
      </c>
      <c r="G27" s="60">
        <v>2200</v>
      </c>
      <c r="H27" s="60">
        <f>+ROUND(G27*(1+H8),2)</f>
        <v>2266</v>
      </c>
      <c r="I27" s="60">
        <f>+ROUND(H27*(1+I8),2)</f>
        <v>2333.98</v>
      </c>
    </row>
    <row r="28" spans="1:9">
      <c r="A28" s="132" t="str">
        <f t="shared" ref="A28:A37" si="3">+A13</f>
        <v>Administrativa Financeira</v>
      </c>
      <c r="B28" s="122"/>
      <c r="C28" s="123"/>
      <c r="D28" s="60"/>
      <c r="E28" s="60">
        <v>1250</v>
      </c>
      <c r="F28" s="60">
        <v>1500</v>
      </c>
      <c r="G28" s="60">
        <f>+ROUND(F28*(1+G8),2)</f>
        <v>1545</v>
      </c>
      <c r="H28" s="60">
        <f>+ROUND(G28*(1+H8),2)</f>
        <v>1591.35</v>
      </c>
      <c r="I28" s="60">
        <f>+ROUND(H28*(1+I8),2)</f>
        <v>1639.09</v>
      </c>
    </row>
    <row r="29" spans="1:9">
      <c r="A29" s="132" t="str">
        <f t="shared" si="3"/>
        <v>Comercial / Marketing</v>
      </c>
      <c r="B29" s="122"/>
      <c r="C29" s="123"/>
      <c r="D29" s="60"/>
      <c r="E29" s="60"/>
      <c r="F29" s="60">
        <v>1500</v>
      </c>
      <c r="G29" s="60">
        <f>+ROUND(F29*(1+G8),2)</f>
        <v>1545</v>
      </c>
      <c r="H29" s="60">
        <f>+ROUND(G29*(1+H8),2)</f>
        <v>1591.35</v>
      </c>
      <c r="I29" s="60">
        <f>+ROUND(H29*(1+I8),2)</f>
        <v>1639.09</v>
      </c>
    </row>
    <row r="30" spans="1:9">
      <c r="A30" s="132" t="str">
        <f t="shared" si="3"/>
        <v>Produção / Operacional</v>
      </c>
      <c r="B30" s="122"/>
      <c r="C30" s="123"/>
      <c r="D30" s="60"/>
      <c r="E30" s="60"/>
      <c r="F30" s="60">
        <v>2000</v>
      </c>
      <c r="G30" s="60">
        <f>+ROUND(F30*(1+G8),2)</f>
        <v>2060</v>
      </c>
      <c r="H30" s="60">
        <f>+ROUND(G30*(1+H8),2)</f>
        <v>2121.8000000000002</v>
      </c>
      <c r="I30" s="60">
        <f>+ROUND(H30*(1+I8),2)</f>
        <v>2185.4499999999998</v>
      </c>
    </row>
    <row r="31" spans="1:9">
      <c r="A31" s="132" t="str">
        <f t="shared" si="3"/>
        <v>Qualidade</v>
      </c>
      <c r="B31" s="122"/>
      <c r="C31" s="123"/>
      <c r="D31" s="60"/>
      <c r="E31" s="60">
        <v>700</v>
      </c>
      <c r="F31" s="60">
        <f>+ROUND(E31*(1+F8),2)</f>
        <v>721</v>
      </c>
      <c r="G31" s="60">
        <f>+ROUND(F31*(1+G8),2)</f>
        <v>742.63</v>
      </c>
      <c r="H31" s="60">
        <f>+ROUND(G31*(1+H8),2)</f>
        <v>764.91</v>
      </c>
      <c r="I31" s="60">
        <f>+ROUND(H31*(1+I8),2)</f>
        <v>787.86</v>
      </c>
    </row>
    <row r="32" spans="1:9">
      <c r="A32" s="132" t="str">
        <f t="shared" si="3"/>
        <v>Manutenção</v>
      </c>
      <c r="B32" s="122"/>
      <c r="C32" s="123"/>
      <c r="D32" s="60"/>
      <c r="E32" s="60"/>
      <c r="F32" s="60"/>
      <c r="G32" s="60">
        <f t="shared" ref="G32:I33" si="4">+ROUND(F32*(1+G9),2)</f>
        <v>0</v>
      </c>
      <c r="H32" s="60">
        <f t="shared" si="4"/>
        <v>0</v>
      </c>
      <c r="I32" s="60">
        <f t="shared" si="4"/>
        <v>0</v>
      </c>
    </row>
    <row r="33" spans="1:9">
      <c r="A33" s="132" t="str">
        <f t="shared" si="3"/>
        <v>Aprovisionamento</v>
      </c>
      <c r="B33" s="122"/>
      <c r="C33" s="123"/>
      <c r="D33" s="60"/>
      <c r="E33" s="60"/>
      <c r="F33" s="60"/>
      <c r="G33" s="60">
        <f t="shared" si="4"/>
        <v>0</v>
      </c>
      <c r="H33" s="60">
        <f t="shared" si="4"/>
        <v>0</v>
      </c>
      <c r="I33" s="60">
        <f t="shared" si="4"/>
        <v>0</v>
      </c>
    </row>
    <row r="34" spans="1:9">
      <c r="A34" s="132" t="str">
        <f t="shared" si="3"/>
        <v>Investigação &amp; Desenvolvimento</v>
      </c>
      <c r="B34" s="122"/>
      <c r="C34" s="123"/>
      <c r="D34" s="60"/>
      <c r="E34" s="60">
        <v>1800</v>
      </c>
      <c r="F34" s="60">
        <v>2000</v>
      </c>
      <c r="G34" s="60">
        <f>+ROUND(F34*(1+G8),2)</f>
        <v>2060</v>
      </c>
      <c r="H34" s="60">
        <f>+ROUND(G34*(1+H8),2)</f>
        <v>2121.8000000000002</v>
      </c>
      <c r="I34" s="60">
        <f>+ROUND(H34*(1+I8),2)</f>
        <v>2185.4499999999998</v>
      </c>
    </row>
    <row r="35" spans="1:9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>
      <c r="A40" s="482" t="s">
        <v>236</v>
      </c>
      <c r="B40" s="483"/>
      <c r="C40" s="484"/>
      <c r="D40" s="80">
        <f t="shared" ref="D40:I40" si="5">+D26</f>
        <v>2012</v>
      </c>
      <c r="E40" s="80">
        <f t="shared" si="5"/>
        <v>2013</v>
      </c>
      <c r="F40" s="80">
        <f t="shared" si="5"/>
        <v>2014</v>
      </c>
      <c r="G40" s="80">
        <f t="shared" si="5"/>
        <v>2015</v>
      </c>
      <c r="H40" s="80">
        <f t="shared" si="5"/>
        <v>2016</v>
      </c>
      <c r="I40" s="80">
        <f t="shared" si="5"/>
        <v>2017</v>
      </c>
    </row>
    <row r="41" spans="1:9">
      <c r="A41" s="132" t="str">
        <f>+A27</f>
        <v>Administração / Direcção</v>
      </c>
      <c r="B41" s="122"/>
      <c r="C41" s="123"/>
      <c r="D41" s="145">
        <f t="shared" ref="D41:I41" si="6">+D12*D27*D7</f>
        <v>0</v>
      </c>
      <c r="E41" s="145">
        <f t="shared" si="6"/>
        <v>0</v>
      </c>
      <c r="F41" s="145">
        <f t="shared" si="6"/>
        <v>35000</v>
      </c>
      <c r="G41" s="145">
        <f t="shared" si="6"/>
        <v>30800</v>
      </c>
      <c r="H41" s="145">
        <f t="shared" si="6"/>
        <v>31724</v>
      </c>
      <c r="I41" s="145">
        <f t="shared" si="6"/>
        <v>32675.72</v>
      </c>
    </row>
    <row r="42" spans="1:9">
      <c r="A42" s="132" t="str">
        <f t="shared" ref="A42:A51" si="7">+A28</f>
        <v>Administrativa Financeira</v>
      </c>
      <c r="B42" s="122"/>
      <c r="C42" s="123"/>
      <c r="D42" s="145">
        <f t="shared" ref="D42:I42" si="8">+D13*D28*D7</f>
        <v>0</v>
      </c>
      <c r="E42" s="145">
        <f t="shared" si="8"/>
        <v>0</v>
      </c>
      <c r="F42" s="145">
        <f t="shared" si="8"/>
        <v>0</v>
      </c>
      <c r="G42" s="145">
        <f t="shared" si="8"/>
        <v>21630</v>
      </c>
      <c r="H42" s="145">
        <f t="shared" si="8"/>
        <v>22278.899999999998</v>
      </c>
      <c r="I42" s="145">
        <f t="shared" si="8"/>
        <v>22947.26</v>
      </c>
    </row>
    <row r="43" spans="1:9">
      <c r="A43" s="132" t="str">
        <f t="shared" si="7"/>
        <v>Comercial / Marketing</v>
      </c>
      <c r="B43" s="122"/>
      <c r="C43" s="123"/>
      <c r="D43" s="145">
        <f t="shared" ref="D43:I43" si="9">+D14*D29*D7</f>
        <v>0</v>
      </c>
      <c r="E43" s="145">
        <f t="shared" si="9"/>
        <v>0</v>
      </c>
      <c r="F43" s="145">
        <f t="shared" si="9"/>
        <v>21000</v>
      </c>
      <c r="G43" s="145">
        <f t="shared" si="9"/>
        <v>43260</v>
      </c>
      <c r="H43" s="145">
        <f t="shared" si="9"/>
        <v>66836.699999999983</v>
      </c>
      <c r="I43" s="145">
        <f t="shared" si="9"/>
        <v>68841.78</v>
      </c>
    </row>
    <row r="44" spans="1:9">
      <c r="A44" s="132" t="str">
        <f t="shared" si="7"/>
        <v>Produção / Operacional</v>
      </c>
      <c r="B44" s="122"/>
      <c r="C44" s="123"/>
      <c r="D44" s="145">
        <f t="shared" ref="D44:I44" si="10">+D15*D30*D7</f>
        <v>0</v>
      </c>
      <c r="E44" s="145">
        <f t="shared" si="10"/>
        <v>0</v>
      </c>
      <c r="F44" s="145">
        <f t="shared" si="10"/>
        <v>28000</v>
      </c>
      <c r="G44" s="145">
        <f t="shared" si="10"/>
        <v>28840</v>
      </c>
      <c r="H44" s="145">
        <f t="shared" si="10"/>
        <v>29705.200000000004</v>
      </c>
      <c r="I44" s="145">
        <f t="shared" si="10"/>
        <v>30596.299999999996</v>
      </c>
    </row>
    <row r="45" spans="1:9">
      <c r="A45" s="132" t="str">
        <f t="shared" si="7"/>
        <v>Qualidade</v>
      </c>
      <c r="B45" s="122"/>
      <c r="C45" s="123"/>
      <c r="D45" s="145">
        <f t="shared" ref="D45:I45" si="11">+D16*D31*D7</f>
        <v>0</v>
      </c>
      <c r="E45" s="145">
        <f t="shared" si="11"/>
        <v>0</v>
      </c>
      <c r="F45" s="145">
        <f t="shared" si="11"/>
        <v>0</v>
      </c>
      <c r="G45" s="145">
        <f t="shared" si="11"/>
        <v>0</v>
      </c>
      <c r="H45" s="145">
        <f t="shared" si="11"/>
        <v>0</v>
      </c>
      <c r="I45" s="145">
        <f t="shared" si="11"/>
        <v>0</v>
      </c>
    </row>
    <row r="46" spans="1:9">
      <c r="A46" s="132" t="str">
        <f t="shared" si="7"/>
        <v>Manutenção</v>
      </c>
      <c r="B46" s="122"/>
      <c r="C46" s="123"/>
      <c r="D46" s="145">
        <f t="shared" ref="D46:I46" si="12">+D17*D32*D7</f>
        <v>0</v>
      </c>
      <c r="E46" s="145">
        <f t="shared" si="12"/>
        <v>0</v>
      </c>
      <c r="F46" s="145">
        <f t="shared" si="12"/>
        <v>0</v>
      </c>
      <c r="G46" s="145">
        <f t="shared" si="12"/>
        <v>0</v>
      </c>
      <c r="H46" s="145">
        <f t="shared" si="12"/>
        <v>0</v>
      </c>
      <c r="I46" s="145">
        <f t="shared" si="12"/>
        <v>0</v>
      </c>
    </row>
    <row r="47" spans="1:9">
      <c r="A47" s="132" t="str">
        <f t="shared" si="7"/>
        <v>Aprovisionamento</v>
      </c>
      <c r="B47" s="122"/>
      <c r="C47" s="123"/>
      <c r="D47" s="145">
        <f t="shared" ref="D47:I47" si="13">+D18*D33*D7</f>
        <v>0</v>
      </c>
      <c r="E47" s="145">
        <f t="shared" si="13"/>
        <v>0</v>
      </c>
      <c r="F47" s="145">
        <f t="shared" si="13"/>
        <v>0</v>
      </c>
      <c r="G47" s="145">
        <f t="shared" si="13"/>
        <v>0</v>
      </c>
      <c r="H47" s="145">
        <f t="shared" si="13"/>
        <v>0</v>
      </c>
      <c r="I47" s="145">
        <f t="shared" si="13"/>
        <v>0</v>
      </c>
    </row>
    <row r="48" spans="1:9">
      <c r="A48" s="132" t="str">
        <f t="shared" si="7"/>
        <v>Investigação &amp; Desenvolvimento</v>
      </c>
      <c r="B48" s="122"/>
      <c r="C48" s="123"/>
      <c r="D48" s="145">
        <f t="shared" ref="D48:I48" si="14">+D19*D34*D7</f>
        <v>0</v>
      </c>
      <c r="E48" s="145">
        <f t="shared" si="14"/>
        <v>0</v>
      </c>
      <c r="F48" s="145">
        <f t="shared" si="14"/>
        <v>0</v>
      </c>
      <c r="G48" s="145">
        <f t="shared" si="14"/>
        <v>0</v>
      </c>
      <c r="H48" s="145">
        <f t="shared" si="14"/>
        <v>0</v>
      </c>
      <c r="I48" s="145">
        <f t="shared" si="14"/>
        <v>0</v>
      </c>
    </row>
    <row r="49" spans="1:9">
      <c r="A49" s="132" t="str">
        <f t="shared" si="7"/>
        <v>Outros</v>
      </c>
      <c r="B49" s="122"/>
      <c r="C49" s="123"/>
      <c r="D49" s="145">
        <f t="shared" ref="D49:I49" si="15">+D20*D35*D7</f>
        <v>0</v>
      </c>
      <c r="E49" s="145">
        <f t="shared" si="15"/>
        <v>0</v>
      </c>
      <c r="F49" s="145">
        <f t="shared" si="15"/>
        <v>0</v>
      </c>
      <c r="G49" s="145">
        <f t="shared" si="15"/>
        <v>0</v>
      </c>
      <c r="H49" s="145">
        <f t="shared" si="15"/>
        <v>0</v>
      </c>
      <c r="I49" s="145">
        <f t="shared" si="15"/>
        <v>0</v>
      </c>
    </row>
    <row r="50" spans="1:9">
      <c r="A50" s="132">
        <f t="shared" si="7"/>
        <v>0</v>
      </c>
      <c r="B50" s="139"/>
      <c r="C50" s="140"/>
      <c r="D50" s="145">
        <f t="shared" ref="D50:I50" si="16">+D21*D36*D7</f>
        <v>0</v>
      </c>
      <c r="E50" s="145">
        <f t="shared" si="16"/>
        <v>0</v>
      </c>
      <c r="F50" s="145">
        <f t="shared" si="16"/>
        <v>0</v>
      </c>
      <c r="G50" s="145">
        <f t="shared" si="16"/>
        <v>0</v>
      </c>
      <c r="H50" s="145">
        <f t="shared" si="16"/>
        <v>0</v>
      </c>
      <c r="I50" s="145">
        <f t="shared" si="16"/>
        <v>0</v>
      </c>
    </row>
    <row r="51" spans="1:9">
      <c r="A51" s="132">
        <f t="shared" si="7"/>
        <v>0</v>
      </c>
      <c r="B51" s="139"/>
      <c r="C51" s="140"/>
      <c r="D51" s="145">
        <f t="shared" ref="D51:I51" si="17">+D22*D37*D7</f>
        <v>0</v>
      </c>
      <c r="E51" s="145">
        <f t="shared" si="17"/>
        <v>0</v>
      </c>
      <c r="F51" s="145">
        <f t="shared" si="17"/>
        <v>0</v>
      </c>
      <c r="G51" s="145">
        <f t="shared" si="17"/>
        <v>0</v>
      </c>
      <c r="H51" s="145">
        <f t="shared" si="17"/>
        <v>0</v>
      </c>
      <c r="I51" s="145">
        <f t="shared" si="17"/>
        <v>0</v>
      </c>
    </row>
    <row r="52" spans="1:9" ht="13.5" thickBot="1">
      <c r="A52" s="475" t="s">
        <v>48</v>
      </c>
      <c r="B52" s="476"/>
      <c r="C52" s="477"/>
      <c r="D52" s="146">
        <f t="shared" ref="D52:I52" si="18">+SUM(D41:D51)</f>
        <v>0</v>
      </c>
      <c r="E52" s="146">
        <f t="shared" si="18"/>
        <v>0</v>
      </c>
      <c r="F52" s="146">
        <f t="shared" si="18"/>
        <v>84000</v>
      </c>
      <c r="G52" s="146">
        <f t="shared" si="18"/>
        <v>124530</v>
      </c>
      <c r="H52" s="146">
        <f t="shared" si="18"/>
        <v>150544.79999999999</v>
      </c>
      <c r="I52" s="146">
        <f t="shared" si="18"/>
        <v>155061.06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>
      <c r="A55" s="479" t="s">
        <v>357</v>
      </c>
      <c r="B55" s="480"/>
      <c r="C55" s="481"/>
      <c r="D55" s="80">
        <f t="shared" ref="D55:I55" si="19">+D6</f>
        <v>2012</v>
      </c>
      <c r="E55" s="80">
        <f t="shared" si="19"/>
        <v>2013</v>
      </c>
      <c r="F55" s="80">
        <f t="shared" si="19"/>
        <v>2014</v>
      </c>
      <c r="G55" s="80">
        <f t="shared" si="19"/>
        <v>2015</v>
      </c>
      <c r="H55" s="80">
        <f t="shared" si="19"/>
        <v>2016</v>
      </c>
      <c r="I55" s="80">
        <f t="shared" si="19"/>
        <v>2017</v>
      </c>
    </row>
    <row r="56" spans="1:9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>
      <c r="A57" s="84" t="s">
        <v>352</v>
      </c>
      <c r="B57" s="151"/>
      <c r="C57" s="152">
        <f>+Pressupostos!B23</f>
        <v>0.21249999999999999</v>
      </c>
      <c r="D57" s="153">
        <f t="shared" ref="D57:I57" si="20">$C$57*(D41+D62)</f>
        <v>0</v>
      </c>
      <c r="E57" s="153">
        <f t="shared" si="20"/>
        <v>0</v>
      </c>
      <c r="F57" s="153">
        <f t="shared" si="20"/>
        <v>7437.5</v>
      </c>
      <c r="G57" s="153">
        <f t="shared" si="20"/>
        <v>6545</v>
      </c>
      <c r="H57" s="153">
        <f t="shared" si="20"/>
        <v>6741.3499999999995</v>
      </c>
      <c r="I57" s="153">
        <f t="shared" si="20"/>
        <v>6943.5905000000002</v>
      </c>
    </row>
    <row r="58" spans="1:9">
      <c r="A58" s="84" t="s">
        <v>33</v>
      </c>
      <c r="B58" s="151"/>
      <c r="C58" s="152">
        <f>+Pressupostos!B24</f>
        <v>0.23749999999999999</v>
      </c>
      <c r="D58" s="153">
        <f t="shared" ref="D58:I58" si="21">+$C$58*(SUM(D42:D51)+D63)</f>
        <v>0</v>
      </c>
      <c r="E58" s="153">
        <f t="shared" si="21"/>
        <v>0</v>
      </c>
      <c r="F58" s="153">
        <f t="shared" si="21"/>
        <v>11637.5</v>
      </c>
      <c r="G58" s="153">
        <f t="shared" si="21"/>
        <v>22260.875</v>
      </c>
      <c r="H58" s="153">
        <f t="shared" si="21"/>
        <v>28219.939999999995</v>
      </c>
      <c r="I58" s="153">
        <f t="shared" si="21"/>
        <v>29066.518249999997</v>
      </c>
    </row>
    <row r="59" spans="1:9">
      <c r="A59" s="154" t="s">
        <v>23</v>
      </c>
      <c r="B59" s="155"/>
      <c r="C59" s="58">
        <v>0.01</v>
      </c>
      <c r="D59" s="156">
        <f t="shared" ref="D59:I59" si="22">+$C$59*D52</f>
        <v>0</v>
      </c>
      <c r="E59" s="156">
        <f t="shared" si="22"/>
        <v>0</v>
      </c>
      <c r="F59" s="156">
        <f t="shared" si="22"/>
        <v>840</v>
      </c>
      <c r="G59" s="156">
        <f t="shared" si="22"/>
        <v>1245.3</v>
      </c>
      <c r="H59" s="156">
        <f t="shared" si="22"/>
        <v>1505.4479999999999</v>
      </c>
      <c r="I59" s="156">
        <f t="shared" si="22"/>
        <v>1550.6106</v>
      </c>
    </row>
    <row r="60" spans="1:9">
      <c r="A60" s="154" t="s">
        <v>201</v>
      </c>
      <c r="B60" s="155"/>
      <c r="C60" s="9">
        <f>5.93*22</f>
        <v>130.45999999999998</v>
      </c>
      <c r="D60" s="156">
        <f>+$C$60*11*D23</f>
        <v>4305.1799999999994</v>
      </c>
      <c r="E60" s="156">
        <f>+C60*(1+E8)*11*E23</f>
        <v>5912.4471999999996</v>
      </c>
      <c r="F60" s="156">
        <f>C60*(1+E8)*(1+F8)*11*F23</f>
        <v>7612.2757700000002</v>
      </c>
      <c r="G60" s="156">
        <f>+C60*(1+E8)*(1+F8)*(1+G8)*11*G23</f>
        <v>10976.90166034</v>
      </c>
      <c r="H60" s="156">
        <f>C60*(1+E8)*(1+F8)*(1+G8)*(1+H8)*11*H23</f>
        <v>14536.5540559074</v>
      </c>
      <c r="I60" s="156">
        <f>C60*(1+E8)*(1+F8)*(1+G8)*(1+H8)*(1+I8)*11*I23</f>
        <v>14972.650677584621</v>
      </c>
    </row>
    <row r="61" spans="1:9">
      <c r="A61" s="154" t="s">
        <v>365</v>
      </c>
      <c r="B61" s="155"/>
      <c r="C61" s="152"/>
      <c r="D61" s="153"/>
      <c r="E61" s="153"/>
      <c r="F61" s="153"/>
      <c r="G61" s="153"/>
      <c r="H61" s="153"/>
      <c r="I61" s="153"/>
    </row>
    <row r="62" spans="1:9">
      <c r="A62" s="84" t="s">
        <v>352</v>
      </c>
      <c r="B62" s="151"/>
      <c r="C62" s="58"/>
      <c r="D62" s="313"/>
      <c r="E62" s="313"/>
      <c r="F62" s="313"/>
      <c r="G62" s="313"/>
      <c r="H62" s="313"/>
      <c r="I62" s="313"/>
    </row>
    <row r="63" spans="1:9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85" t="s">
        <v>358</v>
      </c>
      <c r="B66" s="486"/>
      <c r="C66" s="487"/>
      <c r="D66" s="56">
        <f t="shared" ref="D66:I66" si="23">+SUM(D57:D65)</f>
        <v>4305.1799999999994</v>
      </c>
      <c r="E66" s="56">
        <f t="shared" si="23"/>
        <v>5912.4471999999996</v>
      </c>
      <c r="F66" s="56">
        <f t="shared" si="23"/>
        <v>27527.27577</v>
      </c>
      <c r="G66" s="56">
        <f t="shared" si="23"/>
        <v>41028.076660339997</v>
      </c>
      <c r="H66" s="56">
        <f t="shared" si="23"/>
        <v>51003.29205590739</v>
      </c>
      <c r="I66" s="56">
        <f t="shared" si="23"/>
        <v>52533.37002758462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85" t="s">
        <v>359</v>
      </c>
      <c r="B68" s="486"/>
      <c r="C68" s="487"/>
      <c r="D68" s="56">
        <f t="shared" ref="D68:I68" si="24">D52+D66</f>
        <v>4305.1799999999994</v>
      </c>
      <c r="E68" s="56">
        <f t="shared" si="24"/>
        <v>5912.4471999999996</v>
      </c>
      <c r="F68" s="56">
        <f t="shared" si="24"/>
        <v>111527.27577000001</v>
      </c>
      <c r="G68" s="56">
        <f t="shared" si="24"/>
        <v>165558.07666034001</v>
      </c>
      <c r="H68" s="56">
        <f t="shared" si="24"/>
        <v>201548.09205590739</v>
      </c>
      <c r="I68" s="56">
        <f t="shared" si="24"/>
        <v>207594.4300275846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>
      <c r="A70" s="142"/>
      <c r="B70" s="142"/>
      <c r="C70" s="161"/>
      <c r="D70" s="83"/>
      <c r="E70" s="83"/>
      <c r="F70" s="83"/>
      <c r="G70" s="83"/>
      <c r="H70" s="83"/>
      <c r="I70" s="83"/>
    </row>
    <row r="71" spans="1:9">
      <c r="A71" s="479" t="s">
        <v>82</v>
      </c>
      <c r="B71" s="480"/>
      <c r="C71" s="481"/>
      <c r="D71" s="80">
        <f t="shared" ref="D71:I71" si="25">+D6</f>
        <v>2012</v>
      </c>
      <c r="E71" s="80">
        <f t="shared" si="25"/>
        <v>2013</v>
      </c>
      <c r="F71" s="80">
        <f t="shared" si="25"/>
        <v>2014</v>
      </c>
      <c r="G71" s="80">
        <f t="shared" si="25"/>
        <v>2015</v>
      </c>
      <c r="H71" s="80">
        <f t="shared" si="25"/>
        <v>2016</v>
      </c>
      <c r="I71" s="80">
        <f t="shared" si="25"/>
        <v>2017</v>
      </c>
    </row>
    <row r="72" spans="1:9">
      <c r="A72" s="162" t="s">
        <v>351</v>
      </c>
      <c r="B72" s="123"/>
      <c r="C72" s="160"/>
      <c r="D72" s="126"/>
      <c r="E72" s="126"/>
      <c r="F72" s="126"/>
      <c r="G72" s="126"/>
      <c r="H72" s="126"/>
      <c r="I72" s="126"/>
    </row>
    <row r="73" spans="1:9">
      <c r="A73" s="84" t="s">
        <v>352</v>
      </c>
      <c r="B73" s="163"/>
      <c r="C73" s="160"/>
      <c r="D73" s="153">
        <f t="shared" ref="D73:I73" si="26">D41+D62</f>
        <v>0</v>
      </c>
      <c r="E73" s="153">
        <f t="shared" si="26"/>
        <v>0</v>
      </c>
      <c r="F73" s="153">
        <f t="shared" si="26"/>
        <v>35000</v>
      </c>
      <c r="G73" s="153">
        <f t="shared" si="26"/>
        <v>30800</v>
      </c>
      <c r="H73" s="153">
        <f t="shared" si="26"/>
        <v>31724</v>
      </c>
      <c r="I73" s="153">
        <f t="shared" si="26"/>
        <v>32675.72</v>
      </c>
    </row>
    <row r="74" spans="1:9">
      <c r="A74" s="84" t="s">
        <v>33</v>
      </c>
      <c r="B74" s="163"/>
      <c r="C74" s="160"/>
      <c r="D74" s="153">
        <f t="shared" ref="D74:I74" si="27">+SUM(D42:D51)+D63</f>
        <v>0</v>
      </c>
      <c r="E74" s="153">
        <f t="shared" si="27"/>
        <v>0</v>
      </c>
      <c r="F74" s="153">
        <f t="shared" si="27"/>
        <v>49000</v>
      </c>
      <c r="G74" s="153">
        <f t="shared" si="27"/>
        <v>93730</v>
      </c>
      <c r="H74" s="153">
        <f t="shared" si="27"/>
        <v>118820.79999999999</v>
      </c>
      <c r="I74" s="153">
        <f t="shared" si="27"/>
        <v>122385.34</v>
      </c>
    </row>
    <row r="75" spans="1:9">
      <c r="A75" s="162" t="s">
        <v>353</v>
      </c>
      <c r="B75" s="123"/>
      <c r="C75" s="160"/>
      <c r="D75" s="153">
        <f t="shared" ref="D75:I75" si="28">+D57+D58</f>
        <v>0</v>
      </c>
      <c r="E75" s="153">
        <f t="shared" si="28"/>
        <v>0</v>
      </c>
      <c r="F75" s="153">
        <f t="shared" si="28"/>
        <v>19075</v>
      </c>
      <c r="G75" s="153">
        <f t="shared" si="28"/>
        <v>28805.875</v>
      </c>
      <c r="H75" s="153">
        <f t="shared" si="28"/>
        <v>34961.289999999994</v>
      </c>
      <c r="I75" s="153">
        <f t="shared" si="28"/>
        <v>36010.108749999999</v>
      </c>
    </row>
    <row r="76" spans="1:9">
      <c r="A76" s="154" t="s">
        <v>354</v>
      </c>
      <c r="B76" s="123"/>
      <c r="C76" s="160"/>
      <c r="D76" s="153">
        <f t="shared" ref="D76:I77" si="29">+D59</f>
        <v>0</v>
      </c>
      <c r="E76" s="153">
        <f t="shared" si="29"/>
        <v>0</v>
      </c>
      <c r="F76" s="153">
        <f t="shared" si="29"/>
        <v>840</v>
      </c>
      <c r="G76" s="153">
        <f t="shared" si="29"/>
        <v>1245.3</v>
      </c>
      <c r="H76" s="153">
        <f t="shared" si="29"/>
        <v>1505.4479999999999</v>
      </c>
      <c r="I76" s="153">
        <f t="shared" si="29"/>
        <v>1550.6106</v>
      </c>
    </row>
    <row r="77" spans="1:9">
      <c r="A77" s="162" t="s">
        <v>355</v>
      </c>
      <c r="B77" s="123"/>
      <c r="C77" s="160"/>
      <c r="D77" s="153">
        <f t="shared" si="29"/>
        <v>4305.1799999999994</v>
      </c>
      <c r="E77" s="153">
        <f t="shared" si="29"/>
        <v>5912.4471999999996</v>
      </c>
      <c r="F77" s="153">
        <f t="shared" si="29"/>
        <v>7612.2757700000002</v>
      </c>
      <c r="G77" s="153">
        <f t="shared" si="29"/>
        <v>10976.90166034</v>
      </c>
      <c r="H77" s="153">
        <f t="shared" si="29"/>
        <v>14536.5540559074</v>
      </c>
      <c r="I77" s="153">
        <f t="shared" si="29"/>
        <v>14972.650677584621</v>
      </c>
    </row>
    <row r="78" spans="1:9">
      <c r="A78" s="159" t="s">
        <v>356</v>
      </c>
      <c r="B78" s="140"/>
      <c r="C78" s="164"/>
      <c r="D78" s="382">
        <f t="shared" ref="D78:I78" si="30">+D64+D65</f>
        <v>0</v>
      </c>
      <c r="E78" s="382">
        <f t="shared" si="30"/>
        <v>0</v>
      </c>
      <c r="F78" s="382">
        <f t="shared" si="30"/>
        <v>0</v>
      </c>
      <c r="G78" s="382">
        <f t="shared" si="30"/>
        <v>0</v>
      </c>
      <c r="H78" s="382">
        <f t="shared" si="30"/>
        <v>0</v>
      </c>
      <c r="I78" s="382">
        <f t="shared" si="30"/>
        <v>0</v>
      </c>
    </row>
    <row r="79" spans="1:9" ht="13.5" thickBot="1">
      <c r="A79" s="485" t="s">
        <v>359</v>
      </c>
      <c r="B79" s="486"/>
      <c r="C79" s="487"/>
      <c r="D79" s="56">
        <f t="shared" ref="D79:I79" si="31">SUM(D73:D78)</f>
        <v>4305.1799999999994</v>
      </c>
      <c r="E79" s="56">
        <f t="shared" si="31"/>
        <v>5912.4471999999996</v>
      </c>
      <c r="F79" s="56">
        <f t="shared" si="31"/>
        <v>111527.27577000001</v>
      </c>
      <c r="G79" s="56">
        <f t="shared" si="31"/>
        <v>165558.07666033998</v>
      </c>
      <c r="H79" s="56">
        <f t="shared" si="31"/>
        <v>201548.09205590736</v>
      </c>
      <c r="I79" s="56">
        <f t="shared" si="31"/>
        <v>207594.43002758466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>
      <c r="A81" s="142"/>
      <c r="B81" s="142"/>
      <c r="C81" s="83"/>
      <c r="D81" s="83"/>
      <c r="E81" s="83"/>
      <c r="F81" s="83"/>
      <c r="G81" s="83"/>
      <c r="H81" s="83"/>
      <c r="I81" s="83"/>
    </row>
    <row r="82" spans="1:9">
      <c r="A82" s="479" t="s">
        <v>157</v>
      </c>
      <c r="B82" s="480"/>
      <c r="C82" s="481"/>
      <c r="D82" s="80">
        <f t="shared" ref="D82:I82" si="32">+D71</f>
        <v>2012</v>
      </c>
      <c r="E82" s="80">
        <f t="shared" si="32"/>
        <v>2013</v>
      </c>
      <c r="F82" s="80">
        <f t="shared" si="32"/>
        <v>2014</v>
      </c>
      <c r="G82" s="80">
        <f t="shared" si="32"/>
        <v>2015</v>
      </c>
      <c r="H82" s="80">
        <f t="shared" si="32"/>
        <v>2016</v>
      </c>
      <c r="I82" s="80">
        <f t="shared" si="32"/>
        <v>2017</v>
      </c>
    </row>
    <row r="83" spans="1:9">
      <c r="A83" s="162" t="s">
        <v>155</v>
      </c>
      <c r="B83" s="123"/>
      <c r="C83" s="152"/>
      <c r="D83" s="153"/>
      <c r="E83" s="153"/>
      <c r="F83" s="153"/>
      <c r="G83" s="153"/>
      <c r="H83" s="153"/>
      <c r="I83" s="153"/>
    </row>
    <row r="84" spans="1:9">
      <c r="A84" s="84" t="s">
        <v>200</v>
      </c>
      <c r="B84" s="151"/>
      <c r="C84" s="152">
        <f>+Pressupostos!B25</f>
        <v>0.1</v>
      </c>
      <c r="D84" s="153">
        <f t="shared" ref="D84:I84" si="33">+$C$84*D73</f>
        <v>0</v>
      </c>
      <c r="E84" s="153">
        <f t="shared" si="33"/>
        <v>0</v>
      </c>
      <c r="F84" s="153">
        <f t="shared" si="33"/>
        <v>3500</v>
      </c>
      <c r="G84" s="153">
        <f t="shared" si="33"/>
        <v>3080</v>
      </c>
      <c r="H84" s="153">
        <f t="shared" si="33"/>
        <v>3172.4</v>
      </c>
      <c r="I84" s="153">
        <f t="shared" si="33"/>
        <v>3267.5720000000001</v>
      </c>
    </row>
    <row r="85" spans="1:9">
      <c r="A85" s="84" t="s">
        <v>154</v>
      </c>
      <c r="B85" s="151"/>
      <c r="C85" s="152">
        <f>+Pressupostos!B26</f>
        <v>0.11</v>
      </c>
      <c r="D85" s="153">
        <f t="shared" ref="D85:I85" si="34">+$C$85*D74</f>
        <v>0</v>
      </c>
      <c r="E85" s="153">
        <f t="shared" si="34"/>
        <v>0</v>
      </c>
      <c r="F85" s="153">
        <f t="shared" si="34"/>
        <v>5390</v>
      </c>
      <c r="G85" s="153">
        <f t="shared" si="34"/>
        <v>10310.299999999999</v>
      </c>
      <c r="H85" s="153">
        <f t="shared" si="34"/>
        <v>13070.287999999999</v>
      </c>
      <c r="I85" s="153">
        <f t="shared" si="34"/>
        <v>13462.3874</v>
      </c>
    </row>
    <row r="86" spans="1:9">
      <c r="A86" s="162" t="s">
        <v>156</v>
      </c>
      <c r="B86" s="123"/>
      <c r="C86" s="152">
        <f>+Pressupostos!B27</f>
        <v>0.15</v>
      </c>
      <c r="D86" s="153">
        <f t="shared" ref="D86:I86" si="35">+$C$86*(D73+D74)</f>
        <v>0</v>
      </c>
      <c r="E86" s="153">
        <f t="shared" si="35"/>
        <v>0</v>
      </c>
      <c r="F86" s="153">
        <f t="shared" si="35"/>
        <v>12600</v>
      </c>
      <c r="G86" s="153">
        <f t="shared" si="35"/>
        <v>18679.5</v>
      </c>
      <c r="H86" s="153">
        <f t="shared" si="35"/>
        <v>22581.719999999998</v>
      </c>
      <c r="I86" s="153">
        <f t="shared" si="35"/>
        <v>23259.159</v>
      </c>
    </row>
    <row r="87" spans="1:9" ht="13.5" thickBot="1">
      <c r="A87" s="485" t="s">
        <v>158</v>
      </c>
      <c r="B87" s="486"/>
      <c r="C87" s="487"/>
      <c r="D87" s="56">
        <f t="shared" ref="D87:I87" si="36">SUM(D84:D86)</f>
        <v>0</v>
      </c>
      <c r="E87" s="56">
        <f t="shared" si="36"/>
        <v>0</v>
      </c>
      <c r="F87" s="56">
        <f t="shared" si="36"/>
        <v>21490</v>
      </c>
      <c r="G87" s="56">
        <f t="shared" si="36"/>
        <v>32069.8</v>
      </c>
      <c r="H87" s="56">
        <f t="shared" si="36"/>
        <v>38824.407999999996</v>
      </c>
      <c r="I87" s="56">
        <f t="shared" si="36"/>
        <v>39989.118399999999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11:C11"/>
    <mergeCell ref="A23:C23"/>
    <mergeCell ref="A26:C26"/>
    <mergeCell ref="A55:C55"/>
    <mergeCell ref="A40:C40"/>
    <mergeCell ref="A52:C52"/>
    <mergeCell ref="A4:I4"/>
    <mergeCell ref="A87:C87"/>
    <mergeCell ref="A82:C82"/>
    <mergeCell ref="A79:C79"/>
    <mergeCell ref="A71:C71"/>
    <mergeCell ref="A66:C66"/>
    <mergeCell ref="A68:C68"/>
  </mergeCells>
  <phoneticPr fontId="2" type="noConversion"/>
  <printOptions horizontalCentered="1"/>
  <pageMargins left="0.75" right="0.75" top="0.39370078740157483" bottom="0.39370078740157483" header="0.51181102362204722" footer="0.39370078740157483"/>
  <pageSetup paperSize="9" scale="90" orientation="portrait" r:id="rId1"/>
  <headerFooter alignWithMargins="0">
    <oddFooter>&amp;C&amp;"Arial,Normal"&amp;8IAPMEI&amp;R&amp;"Arial,Normal"&amp;8&amp;P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 enableFormatConditionsCalculation="0">
    <pageSetUpPr fitToPage="1"/>
  </sheetPr>
  <dimension ref="A1:H37"/>
  <sheetViews>
    <sheetView showGridLines="0" showZeros="0" zoomScaleNormal="100" workbookViewId="0"/>
  </sheetViews>
  <sheetFormatPr defaultColWidth="8.7109375" defaultRowHeight="12.75"/>
  <cols>
    <col min="1" max="1" width="30.85546875" style="93" customWidth="1"/>
    <col min="2" max="2" width="7.5703125" style="93" customWidth="1"/>
    <col min="3" max="13" width="11.42578125" style="93" customWidth="1"/>
    <col min="14" max="16384" width="8.7109375" style="93"/>
  </cols>
  <sheetData>
    <row r="1" spans="1:8" ht="13.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Portugal OutofTrack</v>
      </c>
    </row>
    <row r="2" spans="1:8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0" t="s">
        <v>177</v>
      </c>
      <c r="B4" s="460"/>
      <c r="C4" s="460"/>
      <c r="D4" s="460"/>
      <c r="E4" s="460"/>
      <c r="F4" s="460"/>
      <c r="G4" s="460"/>
      <c r="H4" s="460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>
      <c r="A6" s="83"/>
      <c r="B6" s="161"/>
      <c r="C6" s="173"/>
      <c r="D6" s="83"/>
      <c r="E6" s="83"/>
      <c r="F6" s="83"/>
      <c r="G6" s="83"/>
      <c r="H6" s="83"/>
    </row>
    <row r="7" spans="1:8">
      <c r="A7" s="162"/>
      <c r="B7" s="155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>
      <c r="A10" s="84" t="s">
        <v>51</v>
      </c>
      <c r="B10" s="175"/>
      <c r="C10" s="138">
        <f>VN!C84*Pressupostos!$C$13/12</f>
        <v>676.28125</v>
      </c>
      <c r="D10" s="138">
        <f>VN!D84*Pressupostos!$C$13/12</f>
        <v>7816.145833333333</v>
      </c>
      <c r="E10" s="138">
        <f>VN!E84*Pressupostos!$C$13/12</f>
        <v>16414.572916666668</v>
      </c>
      <c r="F10" s="138">
        <f>VN!F84*Pressupostos!$C$13/12</f>
        <v>24342.53125</v>
      </c>
      <c r="G10" s="138">
        <f>VN!G84*Pressupostos!$C$13/12</f>
        <v>31848.375</v>
      </c>
      <c r="H10" s="138">
        <f>VN!H84*Pressupostos!$C$13/12</f>
        <v>39554.625</v>
      </c>
    </row>
    <row r="11" spans="1:8">
      <c r="A11" s="84" t="s">
        <v>326</v>
      </c>
      <c r="B11" s="175"/>
      <c r="C11" s="138">
        <f>CMVMC!C16*Pressupostos!$C$15/12</f>
        <v>21.9575</v>
      </c>
      <c r="D11" s="138">
        <f>CMVMC!D16*Pressupostos!$C$15/12</f>
        <v>277.48190972222221</v>
      </c>
      <c r="E11" s="138">
        <f>CMVMC!E16*Pressupostos!$C$15/12</f>
        <v>575.0909930555556</v>
      </c>
      <c r="F11" s="138">
        <f>CMVMC!F16*Pressupostos!$C$15/12</f>
        <v>884.49291555555556</v>
      </c>
      <c r="G11" s="138">
        <f>CMVMC!G16*Pressupostos!$C$15/12</f>
        <v>1160.0885947152778</v>
      </c>
      <c r="H11" s="138">
        <f>CMVMC!H16*Pressupostos!$C$15/12</f>
        <v>1429.1843367937499</v>
      </c>
    </row>
    <row r="12" spans="1:8">
      <c r="A12" s="84" t="s">
        <v>52</v>
      </c>
      <c r="B12" s="175"/>
      <c r="C12" s="138">
        <f t="shared" ref="C12:H12" si="0">IF(C29&lt;0,-C29,0)</f>
        <v>286.39525000000003</v>
      </c>
      <c r="D12" s="138">
        <f t="shared" si="0"/>
        <v>1336.8224062500001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>
      <c r="A13" s="490" t="s">
        <v>159</v>
      </c>
      <c r="B13" s="491"/>
      <c r="C13" s="60"/>
      <c r="D13" s="60"/>
      <c r="E13" s="60"/>
      <c r="F13" s="60"/>
      <c r="G13" s="60"/>
      <c r="H13" s="60"/>
    </row>
    <row r="14" spans="1:8">
      <c r="A14" s="490" t="s">
        <v>159</v>
      </c>
      <c r="B14" s="491"/>
      <c r="C14" s="60"/>
      <c r="D14" s="60"/>
      <c r="E14" s="60"/>
      <c r="F14" s="60"/>
      <c r="G14" s="60"/>
      <c r="H14" s="60"/>
    </row>
    <row r="15" spans="1:8">
      <c r="A15" s="488" t="s">
        <v>48</v>
      </c>
      <c r="B15" s="489"/>
      <c r="C15" s="177">
        <f t="shared" ref="C15:H15" si="1">SUM(C9:C14)</f>
        <v>984.63400000000001</v>
      </c>
      <c r="D15" s="177">
        <f t="shared" si="1"/>
        <v>9430.4501493055559</v>
      </c>
      <c r="E15" s="177">
        <f t="shared" si="1"/>
        <v>16989.663909722225</v>
      </c>
      <c r="F15" s="177">
        <f t="shared" si="1"/>
        <v>25227.024165555555</v>
      </c>
      <c r="G15" s="177">
        <f t="shared" si="1"/>
        <v>33008.463594715278</v>
      </c>
      <c r="H15" s="177">
        <f t="shared" si="1"/>
        <v>40983.809336793747</v>
      </c>
    </row>
    <row r="16" spans="1:8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>
      <c r="A17" s="84" t="s">
        <v>18</v>
      </c>
      <c r="B17" s="175"/>
      <c r="C17" s="138">
        <f>(CMVMC!C20+FSE!F53)*Pressupostos!$C$14/12</f>
        <v>777.33462499999996</v>
      </c>
      <c r="D17" s="138">
        <f>(CMVMC!D20+FSE!G53)*Pressupostos!$C$14/12</f>
        <v>6205.8657135416661</v>
      </c>
      <c r="E17" s="138">
        <f>(CMVMC!E20+FSE!H53)*Pressupostos!$C$14/12</f>
        <v>11612.921655208333</v>
      </c>
      <c r="F17" s="138">
        <f>(CMVMC!F20+FSE!I53)*Pressupostos!$C$14/12</f>
        <v>17091.518035333334</v>
      </c>
      <c r="G17" s="138">
        <f>(CMVMC!G20+FSE!J53)*Pressupostos!$C$14/12</f>
        <v>21722.024007296877</v>
      </c>
      <c r="H17" s="138">
        <f>(CMVMC!H20+FSE!K53)*Pressupostos!$C$14/12</f>
        <v>26021.473923355356</v>
      </c>
    </row>
    <row r="18" spans="1:8">
      <c r="A18" s="84" t="s">
        <v>52</v>
      </c>
      <c r="B18" s="175"/>
      <c r="C18" s="138">
        <f t="shared" ref="C18:H18" si="2">IF(C29&gt;0,C29,0)</f>
        <v>0</v>
      </c>
      <c r="D18" s="138">
        <f t="shared" si="2"/>
        <v>0</v>
      </c>
      <c r="E18" s="138">
        <f t="shared" si="2"/>
        <v>2330.7636104166663</v>
      </c>
      <c r="F18" s="138">
        <f t="shared" si="2"/>
        <v>4069.3196046666667</v>
      </c>
      <c r="G18" s="138">
        <f t="shared" si="2"/>
        <v>5673.4322972604141</v>
      </c>
      <c r="H18" s="138">
        <f t="shared" si="2"/>
        <v>5930.7666899720389</v>
      </c>
    </row>
    <row r="19" spans="1:8">
      <c r="A19" s="490" t="s">
        <v>159</v>
      </c>
      <c r="B19" s="491"/>
      <c r="C19" s="61"/>
      <c r="D19" s="61"/>
      <c r="E19" s="61"/>
      <c r="F19" s="61"/>
      <c r="G19" s="61"/>
      <c r="H19" s="61"/>
    </row>
    <row r="20" spans="1:8" ht="13.5" thickBot="1">
      <c r="A20" s="475" t="s">
        <v>48</v>
      </c>
      <c r="B20" s="476"/>
      <c r="C20" s="181">
        <f t="shared" ref="C20:H20" si="3">+SUM(C17:C19)</f>
        <v>777.33462499999996</v>
      </c>
      <c r="D20" s="181">
        <f t="shared" si="3"/>
        <v>6205.8657135416661</v>
      </c>
      <c r="E20" s="181">
        <f t="shared" si="3"/>
        <v>13943.685265624999</v>
      </c>
      <c r="F20" s="181">
        <f t="shared" si="3"/>
        <v>21160.837640000002</v>
      </c>
      <c r="G20" s="181">
        <f t="shared" si="3"/>
        <v>27395.45630455729</v>
      </c>
      <c r="H20" s="181">
        <f t="shared" si="3"/>
        <v>31952.240613327394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202</v>
      </c>
      <c r="B22" s="186"/>
      <c r="C22" s="181">
        <f t="shared" ref="C22:H22" si="4">+C15-C20</f>
        <v>207.29937500000005</v>
      </c>
      <c r="D22" s="181">
        <f t="shared" si="4"/>
        <v>3224.5844357638898</v>
      </c>
      <c r="E22" s="181">
        <f t="shared" si="4"/>
        <v>3045.9786440972257</v>
      </c>
      <c r="F22" s="181">
        <f t="shared" si="4"/>
        <v>4066.1865255555531</v>
      </c>
      <c r="G22" s="181">
        <f t="shared" si="4"/>
        <v>5613.0072901579879</v>
      </c>
      <c r="H22" s="181">
        <f t="shared" si="4"/>
        <v>9031.5687234663528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207.29937500000005</v>
      </c>
      <c r="D24" s="181">
        <f>+D22-C22</f>
        <v>3017.2850607638898</v>
      </c>
      <c r="E24" s="181">
        <f>+E22-D22</f>
        <v>-178.60579166666412</v>
      </c>
      <c r="F24" s="181">
        <f>+F22-E22</f>
        <v>1020.2078814583274</v>
      </c>
      <c r="G24" s="181">
        <f>+G22-F22</f>
        <v>1546.8207646024348</v>
      </c>
      <c r="H24" s="181">
        <f>+H22-G22</f>
        <v>3418.5614333083649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>
      <c r="A26" s="189" t="s">
        <v>203</v>
      </c>
      <c r="B26" s="142"/>
      <c r="C26" s="147"/>
      <c r="D26" s="83"/>
      <c r="E26" s="83"/>
      <c r="F26" s="83"/>
      <c r="G26" s="83"/>
      <c r="H26" s="83"/>
    </row>
    <row r="27" spans="1:8">
      <c r="A27" s="83"/>
      <c r="B27" s="83"/>
      <c r="C27" s="173"/>
      <c r="D27" s="173"/>
      <c r="E27" s="190"/>
      <c r="F27" s="173"/>
      <c r="G27" s="173"/>
      <c r="H27" s="173"/>
    </row>
    <row r="28" spans="1:8">
      <c r="C28" s="191"/>
      <c r="D28" s="191"/>
      <c r="E28" s="192"/>
      <c r="F28" s="191"/>
      <c r="G28" s="191"/>
      <c r="H28" s="191"/>
    </row>
    <row r="29" spans="1:8">
      <c r="A29" s="340" t="s">
        <v>263</v>
      </c>
      <c r="B29" s="342"/>
      <c r="C29" s="343">
        <f t="shared" ref="C29:H29" si="5">+SUM(C30:C32)</f>
        <v>-286.39525000000003</v>
      </c>
      <c r="D29" s="343">
        <f t="shared" si="5"/>
        <v>-1336.8224062500001</v>
      </c>
      <c r="E29" s="343">
        <f t="shared" si="5"/>
        <v>2330.7636104166663</v>
      </c>
      <c r="F29" s="343">
        <f t="shared" si="5"/>
        <v>4069.3196046666667</v>
      </c>
      <c r="G29" s="343">
        <f t="shared" si="5"/>
        <v>5673.4322972604141</v>
      </c>
      <c r="H29" s="343">
        <f t="shared" si="5"/>
        <v>5930.7666899720389</v>
      </c>
    </row>
    <row r="30" spans="1:8">
      <c r="A30" s="341" t="s">
        <v>264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2330.4166666666665</v>
      </c>
      <c r="F30" s="346">
        <f>('Gastos com Pessoal'!G84+'Gastos com Pessoal'!G85+'Gastos com Pessoal'!G57+'Gastos com Pessoal'!G58)/FSE!I8</f>
        <v>3516.3479166666671</v>
      </c>
      <c r="G30" s="346">
        <f>('Gastos com Pessoal'!H84+'Gastos com Pessoal'!H85+'Gastos com Pessoal'!H57+'Gastos com Pessoal'!H58)/FSE!J8</f>
        <v>4266.9981666666654</v>
      </c>
      <c r="H30" s="346">
        <f>('Gastos com Pessoal'!I84+'Gastos com Pessoal'!I85+'Gastos com Pessoal'!I57+'Gastos com Pessoal'!I58)/FSE!K8</f>
        <v>4395.0056791666657</v>
      </c>
    </row>
    <row r="31" spans="1:8">
      <c r="A31" s="341" t="s">
        <v>265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1050</v>
      </c>
      <c r="F31" s="346">
        <f>'Gastos com Pessoal'!G86/FSE!I8</f>
        <v>1556.625</v>
      </c>
      <c r="G31" s="346">
        <f>'Gastos com Pessoal'!H86/FSE!J8</f>
        <v>1881.8099999999997</v>
      </c>
      <c r="H31" s="346">
        <f>'Gastos com Pessoal'!I86/FSE!K8</f>
        <v>1938.26325</v>
      </c>
    </row>
    <row r="32" spans="1:8">
      <c r="A32" s="341" t="s">
        <v>64</v>
      </c>
      <c r="B32" s="342"/>
      <c r="C32" s="346">
        <f>(VN!C82-CMVMC!C18-FSE!F51-Investimento!C31)/4</f>
        <v>-286.39525000000003</v>
      </c>
      <c r="D32" s="346">
        <f>(VN!D82-CMVMC!D18-FSE!G51-Investimento!D31)/4</f>
        <v>-1336.8224062500001</v>
      </c>
      <c r="E32" s="346">
        <f>(VN!E82-CMVMC!E18-FSE!H51-Investimento!E31)/4</f>
        <v>-1049.6530562500002</v>
      </c>
      <c r="F32" s="346">
        <f>(VN!F82-CMVMC!F18-FSE!I51-Investimento!F31)/4</f>
        <v>-1003.6533120000008</v>
      </c>
      <c r="G32" s="346">
        <f>(VN!G82-CMVMC!G18-FSE!J51-Investimento!G31)/4</f>
        <v>-475.37586940625079</v>
      </c>
      <c r="H32" s="346">
        <f>(VN!H82-CMVMC!H18-FSE!K51-Investimento!H31)/4</f>
        <v>-402.50223919462633</v>
      </c>
    </row>
    <row r="33" spans="5:5">
      <c r="E33" s="192"/>
    </row>
    <row r="34" spans="5:5">
      <c r="E34" s="192"/>
    </row>
    <row r="35" spans="5:5">
      <c r="E35" s="192"/>
    </row>
    <row r="36" spans="5:5">
      <c r="E36" s="192"/>
    </row>
    <row r="37" spans="5: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portrait" r:id="rId1"/>
  <headerFooter alignWithMargins="0">
    <oddFooter>&amp;C&amp;"Arial,Normal"&amp;8IAPMEI&amp;R&amp;"Arial,Normal"&amp;8&amp;P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topLeftCell="A21" zoomScaleNormal="100" workbookViewId="0">
      <selection activeCell="C28" sqref="C28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578125" style="194" customWidth="1"/>
    <col min="10" max="10" width="2.7109375" style="194" customWidth="1"/>
    <col min="11" max="16384" width="8.7109375" style="194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Portugal OutofTrack</v>
      </c>
    </row>
    <row r="2" spans="1:8" s="93" customFormat="1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60" t="s">
        <v>57</v>
      </c>
      <c r="B4" s="460"/>
      <c r="C4" s="460"/>
      <c r="D4" s="460"/>
      <c r="E4" s="460"/>
      <c r="F4" s="460"/>
      <c r="G4" s="460"/>
      <c r="H4" s="460"/>
    </row>
    <row r="5" spans="1:8">
      <c r="A5" s="193"/>
      <c r="B5" s="193"/>
      <c r="C5" s="193"/>
      <c r="D5" s="193"/>
      <c r="E5" s="193"/>
      <c r="F5" s="193"/>
      <c r="G5" s="193"/>
      <c r="H5" s="193"/>
    </row>
    <row r="6" spans="1:8">
      <c r="A6" s="195"/>
      <c r="B6" s="195"/>
      <c r="C6" s="196"/>
      <c r="D6" s="196"/>
      <c r="E6" s="196"/>
      <c r="F6" s="196"/>
      <c r="G6" s="196"/>
      <c r="H6" s="196"/>
    </row>
    <row r="7" spans="1:8">
      <c r="A7" s="499" t="s">
        <v>237</v>
      </c>
      <c r="B7" s="499"/>
      <c r="C7" s="197">
        <f>+VN!C8</f>
        <v>2012</v>
      </c>
      <c r="D7" s="197">
        <f>+VN!D8</f>
        <v>2013</v>
      </c>
      <c r="E7" s="197">
        <f>+VN!E8</f>
        <v>2014</v>
      </c>
      <c r="F7" s="197">
        <f>+VN!F8</f>
        <v>2015</v>
      </c>
      <c r="G7" s="197">
        <f>+VN!G8</f>
        <v>2016</v>
      </c>
      <c r="H7" s="197">
        <f>+VN!H8</f>
        <v>2017</v>
      </c>
    </row>
    <row r="8" spans="1:8">
      <c r="A8" s="198" t="s">
        <v>269</v>
      </c>
      <c r="B8" s="212"/>
      <c r="C8" s="197"/>
      <c r="D8" s="197"/>
      <c r="E8" s="197"/>
      <c r="F8" s="197"/>
      <c r="G8" s="197"/>
      <c r="H8" s="197"/>
    </row>
    <row r="9" spans="1:8">
      <c r="A9" s="350" t="s">
        <v>270</v>
      </c>
      <c r="B9" s="212"/>
      <c r="C9" s="64"/>
      <c r="D9" s="64"/>
      <c r="E9" s="64"/>
      <c r="F9" s="64"/>
      <c r="G9" s="64"/>
      <c r="H9" s="64"/>
    </row>
    <row r="10" spans="1:8">
      <c r="A10" s="350" t="s">
        <v>271</v>
      </c>
      <c r="B10" s="212"/>
      <c r="C10" s="64"/>
      <c r="D10" s="64"/>
      <c r="E10" s="64"/>
      <c r="F10" s="64"/>
      <c r="G10" s="64"/>
      <c r="H10" s="64"/>
    </row>
    <row r="11" spans="1:8">
      <c r="A11" s="350" t="s">
        <v>272</v>
      </c>
      <c r="B11" s="212"/>
      <c r="C11" s="64"/>
      <c r="D11" s="64"/>
      <c r="E11" s="64"/>
      <c r="F11" s="64"/>
      <c r="G11" s="64"/>
      <c r="H11" s="64"/>
    </row>
    <row r="12" spans="1:8">
      <c r="A12" s="495" t="s">
        <v>273</v>
      </c>
      <c r="B12" s="496"/>
      <c r="C12" s="356">
        <f t="shared" ref="C12:H12" si="0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>
      <c r="A13" s="198" t="s">
        <v>274</v>
      </c>
      <c r="B13" s="199"/>
      <c r="C13" s="201"/>
      <c r="D13" s="201"/>
      <c r="E13" s="201"/>
      <c r="F13" s="201"/>
      <c r="G13" s="201"/>
      <c r="H13" s="201"/>
    </row>
    <row r="14" spans="1:8">
      <c r="A14" s="350" t="s">
        <v>411</v>
      </c>
      <c r="B14" s="199"/>
      <c r="C14" s="64"/>
      <c r="D14" s="64"/>
      <c r="E14" s="64"/>
      <c r="F14" s="64"/>
      <c r="G14" s="64"/>
      <c r="H14" s="64"/>
    </row>
    <row r="15" spans="1:8">
      <c r="A15" s="350" t="s">
        <v>364</v>
      </c>
      <c r="B15" s="199"/>
      <c r="C15" s="64"/>
      <c r="D15" s="64"/>
      <c r="E15" s="64"/>
      <c r="F15" s="64"/>
      <c r="G15" s="64"/>
      <c r="H15" s="64"/>
    </row>
    <row r="16" spans="1:8" ht="13.5">
      <c r="A16" s="350" t="s">
        <v>367</v>
      </c>
      <c r="B16" s="199"/>
      <c r="C16" s="64">
        <f>+[4]Custos!$D$10</f>
        <v>0</v>
      </c>
      <c r="D16" s="443"/>
      <c r="E16" s="443"/>
      <c r="F16" s="443"/>
      <c r="G16" s="443"/>
      <c r="H16" s="443"/>
    </row>
    <row r="17" spans="1:8">
      <c r="A17" s="350" t="s">
        <v>368</v>
      </c>
      <c r="B17" s="199"/>
      <c r="C17" s="64">
        <f>+[4]Custos!$D$10</f>
        <v>0</v>
      </c>
      <c r="D17" s="64"/>
      <c r="E17" s="64"/>
      <c r="F17" s="64"/>
      <c r="G17" s="64"/>
      <c r="H17" s="64"/>
    </row>
    <row r="18" spans="1:8">
      <c r="A18" s="350" t="s">
        <v>369</v>
      </c>
      <c r="B18" s="199"/>
      <c r="C18" s="64"/>
      <c r="D18" s="64"/>
      <c r="E18" s="64"/>
      <c r="F18" s="64"/>
      <c r="G18" s="64"/>
      <c r="H18" s="64"/>
    </row>
    <row r="19" spans="1:8">
      <c r="A19" s="350" t="s">
        <v>275</v>
      </c>
      <c r="B19" s="199"/>
      <c r="C19" s="64"/>
      <c r="D19" s="64"/>
      <c r="E19" s="64"/>
      <c r="F19" s="64"/>
      <c r="G19" s="64"/>
      <c r="H19" s="64"/>
    </row>
    <row r="20" spans="1:8">
      <c r="A20" s="350" t="s">
        <v>370</v>
      </c>
      <c r="B20" s="199"/>
      <c r="C20" s="64"/>
      <c r="D20" s="64"/>
      <c r="E20" s="64"/>
      <c r="F20" s="64"/>
      <c r="G20" s="64"/>
      <c r="H20" s="64"/>
    </row>
    <row r="21" spans="1:8">
      <c r="A21" s="497" t="s">
        <v>331</v>
      </c>
      <c r="B21" s="498"/>
      <c r="C21" s="202">
        <f t="shared" ref="C21:H21" si="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>
      <c r="A22" s="198" t="s">
        <v>323</v>
      </c>
      <c r="B22" s="199"/>
      <c r="C22" s="210"/>
      <c r="D22" s="210"/>
      <c r="E22" s="210"/>
      <c r="F22" s="210"/>
      <c r="G22" s="210"/>
      <c r="H22" s="210"/>
    </row>
    <row r="23" spans="1:8">
      <c r="A23" s="350" t="s">
        <v>332</v>
      </c>
      <c r="B23" s="199"/>
      <c r="C23" s="64">
        <v>5000</v>
      </c>
      <c r="D23" s="64"/>
      <c r="E23" s="64"/>
      <c r="F23" s="64"/>
      <c r="G23" s="64"/>
      <c r="H23" s="64"/>
    </row>
    <row r="24" spans="1:8">
      <c r="A24" s="350" t="s">
        <v>333</v>
      </c>
      <c r="B24" s="199"/>
      <c r="C24" s="64"/>
      <c r="D24" s="64"/>
      <c r="E24" s="64"/>
      <c r="F24" s="64"/>
      <c r="G24" s="64"/>
      <c r="H24" s="64"/>
    </row>
    <row r="25" spans="1:8">
      <c r="A25" s="350" t="s">
        <v>334</v>
      </c>
      <c r="B25" s="199"/>
      <c r="C25" s="64">
        <v>20000</v>
      </c>
      <c r="D25" s="64"/>
      <c r="E25" s="64"/>
      <c r="F25" s="64"/>
      <c r="G25" s="64"/>
      <c r="H25" s="64"/>
    </row>
    <row r="26" spans="1:8">
      <c r="A26" s="350" t="s">
        <v>335</v>
      </c>
      <c r="B26" s="199"/>
      <c r="C26" s="64"/>
      <c r="D26" s="64"/>
      <c r="E26" s="64"/>
      <c r="F26" s="64"/>
      <c r="G26" s="64"/>
      <c r="H26" s="64"/>
    </row>
    <row r="27" spans="1:8">
      <c r="A27" s="350" t="s">
        <v>336</v>
      </c>
      <c r="B27" s="199"/>
      <c r="C27" s="64">
        <v>5000</v>
      </c>
      <c r="D27" s="64"/>
      <c r="E27" s="64"/>
      <c r="F27" s="64"/>
      <c r="G27" s="64"/>
      <c r="H27" s="64"/>
    </row>
    <row r="28" spans="1:8">
      <c r="A28" s="497" t="s">
        <v>330</v>
      </c>
      <c r="B28" s="498"/>
      <c r="C28" s="202">
        <f t="shared" ref="C28:H28" si="2">+SUM(C23:C27)</f>
        <v>30000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494" t="s">
        <v>242</v>
      </c>
      <c r="B29" s="494"/>
      <c r="C29" s="203">
        <f t="shared" ref="C29:H29" si="3">+C12+C21+C28</f>
        <v>30000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0.23</v>
      </c>
      <c r="C31" s="203">
        <f t="shared" ref="C31:H31" si="4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>
      <c r="A33" s="499" t="s">
        <v>377</v>
      </c>
      <c r="B33" s="499"/>
      <c r="C33" s="197">
        <f t="shared" ref="C33:H33" si="5">+C7</f>
        <v>2012</v>
      </c>
      <c r="D33" s="197">
        <f t="shared" si="5"/>
        <v>2013</v>
      </c>
      <c r="E33" s="197">
        <f t="shared" si="5"/>
        <v>2014</v>
      </c>
      <c r="F33" s="197">
        <f t="shared" si="5"/>
        <v>2015</v>
      </c>
      <c r="G33" s="197">
        <f t="shared" si="5"/>
        <v>2016</v>
      </c>
      <c r="H33" s="197">
        <f t="shared" si="5"/>
        <v>2017</v>
      </c>
    </row>
    <row r="34" spans="1:8">
      <c r="A34" s="198" t="s">
        <v>269</v>
      </c>
      <c r="B34" s="212"/>
      <c r="C34" s="357"/>
      <c r="D34" s="357"/>
      <c r="E34" s="357"/>
      <c r="F34" s="357"/>
      <c r="G34" s="357"/>
      <c r="H34" s="357"/>
    </row>
    <row r="35" spans="1:8">
      <c r="A35" s="350" t="s">
        <v>270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>
      <c r="A36" s="350" t="s">
        <v>271</v>
      </c>
      <c r="B36" s="212"/>
      <c r="C36" s="354">
        <f>+C10</f>
        <v>0</v>
      </c>
      <c r="D36" s="354">
        <f t="shared" ref="D36:H37" si="6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>
      <c r="A37" s="350" t="s">
        <v>272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>
      <c r="A38" s="495" t="s">
        <v>273</v>
      </c>
      <c r="B38" s="496"/>
      <c r="C38" s="353">
        <f t="shared" ref="C38:H38" si="7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>
      <c r="A39" s="198" t="s">
        <v>274</v>
      </c>
      <c r="B39" s="199"/>
      <c r="C39" s="353"/>
      <c r="D39" s="353"/>
      <c r="E39" s="353"/>
      <c r="F39" s="353"/>
      <c r="G39" s="353"/>
      <c r="H39" s="353"/>
    </row>
    <row r="40" spans="1:8">
      <c r="A40" s="200" t="s">
        <v>361</v>
      </c>
      <c r="B40" s="199"/>
      <c r="C40" s="353">
        <f>+C14</f>
        <v>0</v>
      </c>
      <c r="D40" s="353">
        <f t="shared" ref="D40:H44" si="8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>
      <c r="A41" s="200" t="s">
        <v>238</v>
      </c>
      <c r="B41" s="199"/>
      <c r="C41" s="354">
        <f t="shared" ref="C41:C46" si="9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>
      <c r="A42" s="200" t="s">
        <v>239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>
      <c r="A43" s="200" t="s">
        <v>240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>
      <c r="A44" s="200" t="s">
        <v>241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>
      <c r="A45" s="200" t="s">
        <v>412</v>
      </c>
      <c r="B45" s="199"/>
      <c r="C45" s="354">
        <f t="shared" si="9"/>
        <v>0</v>
      </c>
      <c r="D45" s="354">
        <f t="shared" ref="D45:H46" si="10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>
      <c r="A46" s="200" t="s">
        <v>276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>
      <c r="A47" s="497" t="s">
        <v>331</v>
      </c>
      <c r="B47" s="498"/>
      <c r="C47" s="355">
        <f t="shared" ref="C47:H47" si="11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>
      <c r="A48" s="198" t="s">
        <v>323</v>
      </c>
      <c r="B48" s="199"/>
      <c r="C48" s="358"/>
      <c r="D48" s="358"/>
      <c r="E48" s="358"/>
      <c r="F48" s="358"/>
      <c r="G48" s="358"/>
      <c r="H48" s="358"/>
    </row>
    <row r="49" spans="1:8">
      <c r="A49" s="350" t="s">
        <v>332</v>
      </c>
      <c r="B49" s="199"/>
      <c r="C49" s="210">
        <f>+C23</f>
        <v>5000</v>
      </c>
      <c r="D49" s="210">
        <f t="shared" ref="D49:H51" si="12">+C49+D23</f>
        <v>5000</v>
      </c>
      <c r="E49" s="210">
        <f t="shared" si="12"/>
        <v>5000</v>
      </c>
      <c r="F49" s="210">
        <f t="shared" si="12"/>
        <v>5000</v>
      </c>
      <c r="G49" s="210">
        <f t="shared" si="12"/>
        <v>5000</v>
      </c>
      <c r="H49" s="210">
        <f t="shared" si="12"/>
        <v>5000</v>
      </c>
    </row>
    <row r="50" spans="1:8">
      <c r="A50" s="350" t="s">
        <v>333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>
      <c r="A51" s="350" t="s">
        <v>334</v>
      </c>
      <c r="B51" s="199"/>
      <c r="C51" s="210">
        <f>+C25</f>
        <v>20000</v>
      </c>
      <c r="D51" s="210">
        <f t="shared" si="12"/>
        <v>20000</v>
      </c>
      <c r="E51" s="210">
        <f t="shared" si="12"/>
        <v>20000</v>
      </c>
      <c r="F51" s="210">
        <f t="shared" si="12"/>
        <v>20000</v>
      </c>
      <c r="G51" s="210">
        <f t="shared" si="12"/>
        <v>20000</v>
      </c>
      <c r="H51" s="210">
        <f t="shared" si="12"/>
        <v>20000</v>
      </c>
    </row>
    <row r="52" spans="1:8">
      <c r="A52" s="350" t="s">
        <v>335</v>
      </c>
      <c r="B52" s="199"/>
      <c r="C52" s="210">
        <f>+C26</f>
        <v>0</v>
      </c>
      <c r="D52" s="210">
        <f t="shared" ref="D52:H53" si="1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>
      <c r="A53" s="350" t="s">
        <v>336</v>
      </c>
      <c r="B53" s="199"/>
      <c r="C53" s="210">
        <f>+C27</f>
        <v>5000</v>
      </c>
      <c r="D53" s="210">
        <f t="shared" si="13"/>
        <v>5000</v>
      </c>
      <c r="E53" s="210">
        <f t="shared" si="13"/>
        <v>5000</v>
      </c>
      <c r="F53" s="210">
        <f t="shared" si="13"/>
        <v>5000</v>
      </c>
      <c r="G53" s="210">
        <f t="shared" si="13"/>
        <v>5000</v>
      </c>
      <c r="H53" s="210">
        <f t="shared" si="13"/>
        <v>5000</v>
      </c>
    </row>
    <row r="54" spans="1:8">
      <c r="A54" s="497" t="s">
        <v>330</v>
      </c>
      <c r="B54" s="498"/>
      <c r="C54" s="355">
        <f t="shared" ref="C54:H54" si="14">+SUM(C49:C53)</f>
        <v>30000</v>
      </c>
      <c r="D54" s="355">
        <f t="shared" si="14"/>
        <v>30000</v>
      </c>
      <c r="E54" s="355">
        <f t="shared" si="14"/>
        <v>30000</v>
      </c>
      <c r="F54" s="355">
        <f t="shared" si="14"/>
        <v>30000</v>
      </c>
      <c r="G54" s="355">
        <f t="shared" si="14"/>
        <v>30000</v>
      </c>
      <c r="H54" s="355">
        <f t="shared" si="14"/>
        <v>30000</v>
      </c>
    </row>
    <row r="55" spans="1:8" ht="13.5" thickBot="1">
      <c r="A55" s="494" t="s">
        <v>360</v>
      </c>
      <c r="B55" s="494"/>
      <c r="C55" s="203">
        <f t="shared" ref="C55:H55" si="15">+C38+C47+C54</f>
        <v>30000</v>
      </c>
      <c r="D55" s="203">
        <f t="shared" si="15"/>
        <v>30000</v>
      </c>
      <c r="E55" s="203">
        <f t="shared" si="15"/>
        <v>30000</v>
      </c>
      <c r="F55" s="203">
        <f t="shared" si="15"/>
        <v>30000</v>
      </c>
      <c r="G55" s="203">
        <f t="shared" si="15"/>
        <v>30000</v>
      </c>
      <c r="H55" s="203">
        <f t="shared" si="15"/>
        <v>30000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>
      <c r="A57" s="208"/>
      <c r="B57" s="208"/>
      <c r="C57" s="209"/>
      <c r="D57" s="209"/>
      <c r="E57" s="209"/>
      <c r="F57" s="209"/>
      <c r="G57" s="209"/>
      <c r="H57" s="209"/>
    </row>
    <row r="58" spans="1:8">
      <c r="A58" s="500" t="s">
        <v>366</v>
      </c>
      <c r="B58" s="501"/>
      <c r="C58" s="502"/>
      <c r="D58" s="209"/>
      <c r="E58" s="209"/>
      <c r="F58" s="209"/>
      <c r="G58" s="209"/>
      <c r="H58" s="209"/>
    </row>
    <row r="59" spans="1:8">
      <c r="A59" s="360" t="s">
        <v>269</v>
      </c>
      <c r="B59" s="361"/>
      <c r="C59" s="362"/>
      <c r="D59" s="209"/>
      <c r="E59" s="209"/>
      <c r="F59" s="209"/>
      <c r="G59" s="209"/>
      <c r="H59" s="209"/>
    </row>
    <row r="60" spans="1:8">
      <c r="A60" s="350" t="s">
        <v>271</v>
      </c>
      <c r="B60" s="199"/>
      <c r="C60" s="363">
        <v>0.02</v>
      </c>
      <c r="D60" s="209"/>
      <c r="E60" s="209"/>
      <c r="F60" s="209"/>
      <c r="G60" s="209"/>
      <c r="H60" s="209"/>
    </row>
    <row r="61" spans="1:8">
      <c r="A61" s="350" t="s">
        <v>272</v>
      </c>
      <c r="B61" s="199"/>
      <c r="C61" s="363">
        <v>0.1</v>
      </c>
      <c r="D61" s="209"/>
      <c r="E61" s="209"/>
      <c r="F61" s="209"/>
      <c r="G61" s="209"/>
      <c r="H61" s="209"/>
    </row>
    <row r="62" spans="1:8">
      <c r="A62" s="198" t="s">
        <v>274</v>
      </c>
      <c r="B62" s="199"/>
      <c r="C62" s="364"/>
      <c r="D62" s="209"/>
      <c r="E62" s="209"/>
      <c r="F62" s="209"/>
      <c r="G62" s="209"/>
      <c r="H62" s="209"/>
    </row>
    <row r="63" spans="1:8">
      <c r="A63" s="350" t="s">
        <v>364</v>
      </c>
      <c r="B63" s="199"/>
      <c r="C63" s="363">
        <v>0.02</v>
      </c>
      <c r="D63" s="209"/>
      <c r="E63" s="209"/>
      <c r="F63" s="209"/>
      <c r="G63" s="209"/>
      <c r="H63" s="209"/>
    </row>
    <row r="64" spans="1:8">
      <c r="A64" s="350" t="s">
        <v>367</v>
      </c>
      <c r="B64" s="199"/>
      <c r="C64" s="363">
        <v>0.2</v>
      </c>
      <c r="D64" s="209"/>
      <c r="E64" s="209"/>
      <c r="F64" s="209"/>
      <c r="G64" s="209"/>
      <c r="H64" s="209"/>
    </row>
    <row r="65" spans="1:8">
      <c r="A65" s="350" t="s">
        <v>368</v>
      </c>
      <c r="B65" s="199"/>
      <c r="C65" s="363">
        <v>0.25</v>
      </c>
      <c r="D65" s="209"/>
      <c r="E65" s="209"/>
      <c r="F65" s="209"/>
      <c r="G65" s="209"/>
      <c r="H65" s="209"/>
    </row>
    <row r="66" spans="1:8">
      <c r="A66" s="350" t="s">
        <v>369</v>
      </c>
      <c r="B66" s="199"/>
      <c r="C66" s="363">
        <v>0.25</v>
      </c>
      <c r="D66" s="209"/>
      <c r="E66" s="209"/>
      <c r="F66" s="209"/>
      <c r="G66" s="209"/>
      <c r="H66" s="209"/>
    </row>
    <row r="67" spans="1:8">
      <c r="A67" s="350" t="s">
        <v>275</v>
      </c>
      <c r="B67" s="199"/>
      <c r="C67" s="363">
        <v>0.25</v>
      </c>
      <c r="D67" s="209"/>
      <c r="E67" s="209"/>
      <c r="F67" s="209"/>
      <c r="G67" s="209"/>
      <c r="H67" s="209"/>
    </row>
    <row r="68" spans="1:8">
      <c r="A68" s="350" t="s">
        <v>370</v>
      </c>
      <c r="B68" s="199"/>
      <c r="C68" s="363">
        <v>0.25</v>
      </c>
      <c r="D68" s="209"/>
      <c r="E68" s="209"/>
      <c r="F68" s="209"/>
      <c r="G68" s="209"/>
      <c r="H68" s="209"/>
    </row>
    <row r="69" spans="1:8">
      <c r="A69" s="198" t="s">
        <v>323</v>
      </c>
      <c r="B69" s="199"/>
      <c r="C69" s="364"/>
      <c r="D69" s="209"/>
      <c r="E69" s="209"/>
      <c r="F69" s="209"/>
      <c r="G69" s="209"/>
      <c r="H69" s="209"/>
    </row>
    <row r="70" spans="1:8">
      <c r="A70" s="350" t="s">
        <v>333</v>
      </c>
      <c r="B70" s="199"/>
      <c r="C70" s="365">
        <v>0.33333000000000002</v>
      </c>
      <c r="D70" s="366" t="s">
        <v>376</v>
      </c>
      <c r="E70" s="209"/>
      <c r="F70" s="209"/>
      <c r="G70" s="209"/>
      <c r="H70" s="209"/>
    </row>
    <row r="71" spans="1:8">
      <c r="A71" s="350" t="s">
        <v>334</v>
      </c>
      <c r="B71" s="199"/>
      <c r="C71" s="365">
        <f>100%/3</f>
        <v>0.33333333333333331</v>
      </c>
      <c r="D71" s="209"/>
      <c r="E71" s="209"/>
      <c r="F71" s="209"/>
      <c r="G71" s="209"/>
      <c r="H71" s="209"/>
    </row>
    <row r="72" spans="1:8">
      <c r="A72" s="350" t="s">
        <v>335</v>
      </c>
      <c r="B72" s="199"/>
      <c r="C72" s="365">
        <f>100%/3</f>
        <v>0.33333333333333331</v>
      </c>
      <c r="D72" s="209"/>
      <c r="E72" s="209"/>
      <c r="F72" s="209"/>
      <c r="G72" s="209"/>
      <c r="H72" s="209"/>
    </row>
    <row r="73" spans="1:8">
      <c r="A73" s="350" t="s">
        <v>336</v>
      </c>
      <c r="B73" s="199"/>
      <c r="C73" s="365">
        <f>100%/3</f>
        <v>0.33333333333333331</v>
      </c>
      <c r="D73" s="209"/>
      <c r="E73" s="209"/>
      <c r="F73" s="209"/>
      <c r="G73" s="209"/>
      <c r="H73" s="209"/>
    </row>
    <row r="74" spans="1:8">
      <c r="A74" s="208"/>
      <c r="B74" s="208"/>
      <c r="C74" s="209"/>
      <c r="D74" s="209"/>
      <c r="E74" s="209"/>
      <c r="F74" s="209"/>
      <c r="G74" s="209"/>
      <c r="H74" s="209"/>
    </row>
    <row r="75" spans="1:8">
      <c r="A75" s="211" t="s">
        <v>363</v>
      </c>
      <c r="B75" s="212"/>
      <c r="C75" s="197">
        <f>+C7</f>
        <v>2012</v>
      </c>
      <c r="D75" s="197">
        <f>+C75+1</f>
        <v>2013</v>
      </c>
      <c r="E75" s="197">
        <f>+D75+1</f>
        <v>2014</v>
      </c>
      <c r="F75" s="197">
        <f>+E75+1</f>
        <v>2015</v>
      </c>
      <c r="G75" s="197">
        <f>+F75+1</f>
        <v>2016</v>
      </c>
      <c r="H75" s="197">
        <f>+G75+1</f>
        <v>2017</v>
      </c>
    </row>
    <row r="76" spans="1:8" hidden="1">
      <c r="A76" s="377" t="s">
        <v>269</v>
      </c>
      <c r="B76" s="199"/>
      <c r="C76" s="367"/>
      <c r="D76" s="367"/>
      <c r="E76" s="367"/>
      <c r="F76" s="367"/>
      <c r="G76" s="367"/>
      <c r="H76" s="367"/>
    </row>
    <row r="77" spans="1:8" hidden="1">
      <c r="A77" s="368" t="s">
        <v>271</v>
      </c>
      <c r="B77" s="369">
        <f>+C60</f>
        <v>0.02</v>
      </c>
      <c r="C77" s="370">
        <f t="shared" ref="C77:H77" si="16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idden="1">
      <c r="A78" s="371">
        <f>C75</f>
        <v>2012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idden="1">
      <c r="A79" s="371">
        <f>A78+1</f>
        <v>2013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idden="1">
      <c r="A80" s="371">
        <f>A79+1</f>
        <v>2014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idden="1">
      <c r="A81" s="371">
        <f>A80+1</f>
        <v>2015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idden="1">
      <c r="A82" s="371">
        <f>A81+1</f>
        <v>2016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idden="1">
      <c r="A83" s="371">
        <f>A82+1</f>
        <v>2017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idden="1">
      <c r="A84" s="368" t="s">
        <v>272</v>
      </c>
      <c r="B84" s="369">
        <f>+C61</f>
        <v>0.1</v>
      </c>
      <c r="C84" s="370">
        <f t="shared" ref="C84:H84" si="17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idden="1">
      <c r="A85" s="371">
        <f t="shared" ref="A85:A90" si="18">A78</f>
        <v>2012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idden="1">
      <c r="A86" s="371">
        <f t="shared" si="18"/>
        <v>2013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idden="1">
      <c r="A87" s="371">
        <f t="shared" si="18"/>
        <v>2014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idden="1">
      <c r="A88" s="371">
        <f t="shared" si="18"/>
        <v>2015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idden="1">
      <c r="A89" s="371">
        <f t="shared" si="18"/>
        <v>2016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idden="1">
      <c r="A90" s="371">
        <f t="shared" si="18"/>
        <v>2017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idden="1">
      <c r="A91" s="492" t="s">
        <v>48</v>
      </c>
      <c r="B91" s="493"/>
      <c r="C91" s="380">
        <f t="shared" ref="C91:H91" si="19">+C77+C84</f>
        <v>0</v>
      </c>
      <c r="D91" s="380">
        <f t="shared" si="19"/>
        <v>0</v>
      </c>
      <c r="E91" s="380">
        <f t="shared" si="19"/>
        <v>0</v>
      </c>
      <c r="F91" s="380">
        <f t="shared" si="19"/>
        <v>0</v>
      </c>
      <c r="G91" s="380">
        <f t="shared" si="19"/>
        <v>0</v>
      </c>
      <c r="H91" s="380">
        <f t="shared" si="19"/>
        <v>0</v>
      </c>
    </row>
    <row r="92" spans="1:8" hidden="1">
      <c r="A92" s="377" t="s">
        <v>274</v>
      </c>
      <c r="B92" s="199"/>
      <c r="C92" s="367"/>
      <c r="D92" s="367"/>
      <c r="E92" s="367"/>
      <c r="F92" s="367"/>
      <c r="G92" s="367"/>
      <c r="H92" s="367"/>
    </row>
    <row r="93" spans="1:8" hidden="1">
      <c r="A93" s="368" t="s">
        <v>364</v>
      </c>
      <c r="B93" s="369">
        <f>+C63</f>
        <v>0.02</v>
      </c>
      <c r="C93" s="370">
        <f t="shared" ref="C93:H93" si="20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idden="1">
      <c r="A94" s="371">
        <f t="shared" ref="A94:A99" si="21">A85</f>
        <v>2012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idden="1">
      <c r="A95" s="371">
        <f t="shared" si="21"/>
        <v>2013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idden="1">
      <c r="A96" s="371">
        <f t="shared" si="21"/>
        <v>2014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idden="1">
      <c r="A97" s="371">
        <f t="shared" si="21"/>
        <v>2015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idden="1">
      <c r="A98" s="371">
        <f t="shared" si="21"/>
        <v>2016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idden="1">
      <c r="A99" s="371">
        <f t="shared" si="21"/>
        <v>2017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idden="1">
      <c r="A100" s="368" t="s">
        <v>371</v>
      </c>
      <c r="B100" s="369">
        <f>+C64</f>
        <v>0.2</v>
      </c>
      <c r="C100" s="370">
        <f t="shared" ref="C100:H100" si="22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idden="1">
      <c r="A101" s="371">
        <f t="shared" ref="A101:A134" si="23">A94</f>
        <v>2012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idden="1">
      <c r="A102" s="371">
        <f t="shared" si="23"/>
        <v>2013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idden="1">
      <c r="A103" s="371">
        <f t="shared" si="23"/>
        <v>2014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idden="1">
      <c r="A104" s="371">
        <f t="shared" si="23"/>
        <v>2015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idden="1">
      <c r="A105" s="371">
        <f t="shared" si="23"/>
        <v>2016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idden="1">
      <c r="A106" s="371">
        <f t="shared" si="23"/>
        <v>2017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idden="1">
      <c r="A107" s="368" t="s">
        <v>372</v>
      </c>
      <c r="B107" s="369">
        <f>+C65</f>
        <v>0.25</v>
      </c>
      <c r="C107" s="372">
        <f t="shared" ref="C107:H107" si="24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idden="1">
      <c r="A108" s="371">
        <f t="shared" si="23"/>
        <v>2012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idden="1">
      <c r="A109" s="371">
        <f t="shared" si="23"/>
        <v>2013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idden="1">
      <c r="A110" s="371">
        <f t="shared" si="23"/>
        <v>2014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idden="1">
      <c r="A111" s="371">
        <f t="shared" si="23"/>
        <v>2015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idden="1">
      <c r="A112" s="371">
        <f t="shared" si="23"/>
        <v>2016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idden="1">
      <c r="A113" s="371">
        <f t="shared" si="23"/>
        <v>2017</v>
      </c>
      <c r="B113" s="373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idden="1">
      <c r="A114" s="368" t="s">
        <v>373</v>
      </c>
      <c r="B114" s="369">
        <f>+C66</f>
        <v>0.25</v>
      </c>
      <c r="C114" s="372">
        <f t="shared" ref="C114:H114" si="25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idden="1">
      <c r="A115" s="371">
        <f t="shared" si="23"/>
        <v>2012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idden="1">
      <c r="A116" s="371">
        <f t="shared" si="23"/>
        <v>2013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idden="1">
      <c r="A117" s="371">
        <f t="shared" si="23"/>
        <v>2014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idden="1">
      <c r="A118" s="371">
        <f t="shared" si="23"/>
        <v>2015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idden="1">
      <c r="A119" s="371">
        <f t="shared" si="23"/>
        <v>2016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idden="1">
      <c r="A120" s="371">
        <f t="shared" si="23"/>
        <v>2017</v>
      </c>
      <c r="B120" s="373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idden="1">
      <c r="A121" s="368" t="s">
        <v>374</v>
      </c>
      <c r="B121" s="369">
        <f>+C67</f>
        <v>0.25</v>
      </c>
      <c r="C121" s="372">
        <f t="shared" ref="C121:H121" si="26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idden="1">
      <c r="A122" s="371">
        <f t="shared" si="23"/>
        <v>2012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idden="1">
      <c r="A123" s="371">
        <f t="shared" si="23"/>
        <v>2013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idden="1">
      <c r="A124" s="371">
        <f t="shared" si="23"/>
        <v>2014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idden="1">
      <c r="A125" s="371">
        <f t="shared" si="23"/>
        <v>2015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idden="1">
      <c r="A126" s="371">
        <f t="shared" si="23"/>
        <v>2016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idden="1">
      <c r="A127" s="371">
        <f t="shared" si="23"/>
        <v>2017</v>
      </c>
      <c r="B127" s="373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idden="1">
      <c r="A128" s="368" t="s">
        <v>370</v>
      </c>
      <c r="B128" s="369">
        <f>+C68</f>
        <v>0.25</v>
      </c>
      <c r="C128" s="372">
        <f t="shared" ref="C128:H128" si="27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idden="1">
      <c r="A129" s="371">
        <f t="shared" si="23"/>
        <v>2012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idden="1">
      <c r="A130" s="371">
        <f t="shared" si="23"/>
        <v>2013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idden="1">
      <c r="A131" s="371">
        <f t="shared" si="23"/>
        <v>2014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idden="1">
      <c r="A132" s="371">
        <f t="shared" si="23"/>
        <v>2015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idden="1">
      <c r="A133" s="371">
        <f t="shared" si="23"/>
        <v>2016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idden="1">
      <c r="A134" s="371">
        <f t="shared" si="23"/>
        <v>2017</v>
      </c>
      <c r="B134" s="373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idden="1">
      <c r="A135" s="492" t="s">
        <v>48</v>
      </c>
      <c r="B135" s="493"/>
      <c r="C135" s="380">
        <f t="shared" ref="C135:H135" si="28">+C93+C100+C107+C114+C121+C128</f>
        <v>0</v>
      </c>
      <c r="D135" s="380">
        <f t="shared" si="28"/>
        <v>0</v>
      </c>
      <c r="E135" s="380">
        <f t="shared" si="28"/>
        <v>0</v>
      </c>
      <c r="F135" s="380">
        <f t="shared" si="28"/>
        <v>0</v>
      </c>
      <c r="G135" s="380">
        <f t="shared" si="28"/>
        <v>0</v>
      </c>
      <c r="H135" s="380">
        <f t="shared" si="28"/>
        <v>0</v>
      </c>
    </row>
    <row r="136" spans="1:8" hidden="1">
      <c r="A136" s="376" t="s">
        <v>323</v>
      </c>
      <c r="B136" s="199"/>
      <c r="C136" s="374"/>
      <c r="D136" s="374"/>
      <c r="E136" s="374"/>
      <c r="F136" s="374"/>
      <c r="G136" s="374"/>
      <c r="H136" s="374"/>
    </row>
    <row r="137" spans="1:8" hidden="1">
      <c r="A137" s="368" t="s">
        <v>333</v>
      </c>
      <c r="B137" s="369">
        <f>+C70</f>
        <v>0.33333000000000002</v>
      </c>
      <c r="C137" s="370">
        <f t="shared" ref="C137:H137" si="29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idden="1">
      <c r="A138" s="371">
        <f t="shared" ref="A138:A143" si="30">A101</f>
        <v>2012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idden="1">
      <c r="A139" s="371">
        <f t="shared" si="30"/>
        <v>2013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idden="1">
      <c r="A140" s="371">
        <f t="shared" si="30"/>
        <v>2014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idden="1">
      <c r="A141" s="371">
        <f t="shared" si="30"/>
        <v>2015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idden="1">
      <c r="A142" s="371">
        <f t="shared" si="30"/>
        <v>2016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idden="1">
      <c r="A143" s="371">
        <f t="shared" si="30"/>
        <v>2017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idden="1">
      <c r="A144" s="368" t="s">
        <v>334</v>
      </c>
      <c r="B144" s="369">
        <f>+C71</f>
        <v>0.33333333333333331</v>
      </c>
      <c r="C144" s="370">
        <f t="shared" ref="C144:H144" si="31">SUM(C145:C150)</f>
        <v>6666.6666666666661</v>
      </c>
      <c r="D144" s="370">
        <f t="shared" si="31"/>
        <v>6666.6666666666661</v>
      </c>
      <c r="E144" s="370">
        <f t="shared" si="31"/>
        <v>6666.6666666666661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idden="1">
      <c r="A145" s="371">
        <f t="shared" ref="A145:A150" si="32">A138</f>
        <v>2012</v>
      </c>
      <c r="B145" s="369"/>
      <c r="C145" s="370">
        <f>+IF(C$25&lt;0,0,C$25*$B$144)</f>
        <v>6666.6666666666661</v>
      </c>
      <c r="D145" s="370">
        <f>+IF(C145=0,0,+IF(ROUNDUP(SUM($C145:C145),0)&lt;$C$25,$C$25*$B$144,0))</f>
        <v>6666.6666666666661</v>
      </c>
      <c r="E145" s="370">
        <f>+IF(D145=0,0,+IF(ROUNDUP(SUM($C145:D145),0)&lt;$C$25,$C$25*$B$144,0))</f>
        <v>6666.6666666666661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idden="1">
      <c r="A146" s="371">
        <f t="shared" si="32"/>
        <v>2013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idden="1">
      <c r="A147" s="371">
        <f t="shared" si="32"/>
        <v>2014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idden="1">
      <c r="A148" s="371">
        <f t="shared" si="32"/>
        <v>2015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idden="1">
      <c r="A149" s="371">
        <f t="shared" si="32"/>
        <v>2016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idden="1">
      <c r="A150" s="371">
        <f t="shared" si="32"/>
        <v>2017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idden="1">
      <c r="A151" s="368" t="s">
        <v>335</v>
      </c>
      <c r="B151" s="369">
        <f>+C72</f>
        <v>0.33333333333333331</v>
      </c>
      <c r="C151" s="370">
        <f t="shared" ref="C151:H151" si="33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idden="1">
      <c r="A152" s="371">
        <f t="shared" ref="A152:A164" si="34">A145</f>
        <v>2012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idden="1">
      <c r="A153" s="371">
        <f t="shared" si="34"/>
        <v>2013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idden="1">
      <c r="A154" s="371">
        <f t="shared" si="34"/>
        <v>2014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idden="1">
      <c r="A155" s="371">
        <f t="shared" si="34"/>
        <v>2015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idden="1">
      <c r="A156" s="371">
        <f t="shared" si="34"/>
        <v>2016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idden="1">
      <c r="A157" s="371">
        <f t="shared" si="34"/>
        <v>2017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idden="1">
      <c r="A158" s="368" t="s">
        <v>336</v>
      </c>
      <c r="B158" s="369">
        <f>+C73</f>
        <v>0.33333333333333331</v>
      </c>
      <c r="C158" s="370">
        <f t="shared" ref="C158:H158" si="35">SUM(C159:C164)</f>
        <v>1666.6666666666665</v>
      </c>
      <c r="D158" s="370">
        <f t="shared" si="35"/>
        <v>1666.6666666666665</v>
      </c>
      <c r="E158" s="370">
        <f t="shared" si="35"/>
        <v>1666.6666666666665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idden="1">
      <c r="A159" s="371">
        <f t="shared" si="34"/>
        <v>2012</v>
      </c>
      <c r="B159" s="369"/>
      <c r="C159" s="370">
        <f>+IF(C$27&lt;0,0,C$27*$B$158)</f>
        <v>1666.6666666666665</v>
      </c>
      <c r="D159" s="370">
        <f>+IF(C159=0,0,+IF(ROUNDUP(SUM($C159:C159),0)&lt;$C$27,$C$27*$B$158,0))</f>
        <v>1666.6666666666665</v>
      </c>
      <c r="E159" s="370">
        <f>+IF(D159=0,0,+IF(ROUNDUP(SUM($C159:D159),0)&lt;$C$27,$C$27*$B$158,0))</f>
        <v>1666.6666666666665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idden="1">
      <c r="A160" s="371">
        <f t="shared" si="34"/>
        <v>2013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idden="1">
      <c r="A161" s="371">
        <f t="shared" si="34"/>
        <v>2014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idden="1">
      <c r="A162" s="371">
        <f t="shared" si="34"/>
        <v>2015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idden="1">
      <c r="A163" s="371">
        <f t="shared" si="34"/>
        <v>2016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idden="1">
      <c r="A164" s="371">
        <f t="shared" si="34"/>
        <v>2017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idden="1">
      <c r="A165" s="492" t="s">
        <v>48</v>
      </c>
      <c r="B165" s="493"/>
      <c r="C165" s="380">
        <f t="shared" ref="C165:H165" si="36">+C137+C144+C151+C158</f>
        <v>8333.3333333333321</v>
      </c>
      <c r="D165" s="380">
        <f t="shared" si="36"/>
        <v>8333.3333333333321</v>
      </c>
      <c r="E165" s="380">
        <f t="shared" si="36"/>
        <v>8333.3333333333321</v>
      </c>
      <c r="F165" s="380">
        <f t="shared" si="36"/>
        <v>0</v>
      </c>
      <c r="G165" s="380">
        <f t="shared" si="36"/>
        <v>0</v>
      </c>
      <c r="H165" s="380">
        <f t="shared" si="36"/>
        <v>0</v>
      </c>
    </row>
    <row r="166" spans="1:8">
      <c r="A166" s="492" t="s">
        <v>375</v>
      </c>
      <c r="B166" s="493"/>
      <c r="C166" s="375">
        <f t="shared" ref="C166:H166" si="37">+C91+C135+C165</f>
        <v>8333.3333333333321</v>
      </c>
      <c r="D166" s="375">
        <f t="shared" si="37"/>
        <v>8333.3333333333321</v>
      </c>
      <c r="E166" s="375">
        <f t="shared" si="37"/>
        <v>8333.3333333333321</v>
      </c>
      <c r="F166" s="375">
        <f t="shared" si="37"/>
        <v>0</v>
      </c>
      <c r="G166" s="375">
        <f t="shared" si="37"/>
        <v>0</v>
      </c>
      <c r="H166" s="375">
        <f t="shared" si="37"/>
        <v>0</v>
      </c>
    </row>
    <row r="167" spans="1:8">
      <c r="A167" s="204"/>
      <c r="B167" s="204"/>
      <c r="C167" s="378"/>
      <c r="D167" s="378"/>
      <c r="E167" s="378"/>
      <c r="F167" s="378"/>
      <c r="G167" s="378"/>
      <c r="H167" s="378"/>
    </row>
    <row r="168" spans="1:8">
      <c r="A168" s="204"/>
      <c r="B168" s="204"/>
      <c r="C168" s="378"/>
      <c r="D168" s="378"/>
      <c r="E168" s="378"/>
      <c r="F168" s="378"/>
      <c r="G168" s="378"/>
      <c r="H168" s="378"/>
    </row>
    <row r="169" spans="1:8">
      <c r="A169" s="211" t="s">
        <v>379</v>
      </c>
      <c r="B169" s="212"/>
      <c r="C169" s="197">
        <f>+C7</f>
        <v>2012</v>
      </c>
      <c r="D169" s="197">
        <f>+C169+1</f>
        <v>2013</v>
      </c>
      <c r="E169" s="197">
        <f>+D169+1</f>
        <v>2014</v>
      </c>
      <c r="F169" s="197">
        <f>+E169+1</f>
        <v>2015</v>
      </c>
      <c r="G169" s="197">
        <f>+F169+1</f>
        <v>2016</v>
      </c>
      <c r="H169" s="197">
        <f>+G169+1</f>
        <v>2017</v>
      </c>
    </row>
    <row r="170" spans="1:8">
      <c r="A170" s="377" t="s">
        <v>269</v>
      </c>
      <c r="B170" s="199"/>
      <c r="C170" s="379">
        <f>+C91</f>
        <v>0</v>
      </c>
      <c r="D170" s="379">
        <f>+SUM(C91:D91)</f>
        <v>0</v>
      </c>
      <c r="E170" s="379">
        <f>+SUM(C91:E91)</f>
        <v>0</v>
      </c>
      <c r="F170" s="379">
        <f>+SUM(C91:F91)</f>
        <v>0</v>
      </c>
      <c r="G170" s="379">
        <f>+SUM(C91:G91)</f>
        <v>0</v>
      </c>
      <c r="H170" s="379">
        <f>+SUM(C91:H91)</f>
        <v>0</v>
      </c>
    </row>
    <row r="171" spans="1:8">
      <c r="A171" s="377" t="s">
        <v>274</v>
      </c>
      <c r="B171" s="199"/>
      <c r="C171" s="379">
        <f>+C135</f>
        <v>0</v>
      </c>
      <c r="D171" s="379">
        <f>+SUM(C135:D135)</f>
        <v>0</v>
      </c>
      <c r="E171" s="379">
        <f>+SUM(C135:E135)</f>
        <v>0</v>
      </c>
      <c r="F171" s="379">
        <f>+SUM(C135:F135)</f>
        <v>0</v>
      </c>
      <c r="G171" s="379">
        <f>+SUM(C135:G135)</f>
        <v>0</v>
      </c>
      <c r="H171" s="379">
        <f>+SUM(C135:H135)</f>
        <v>0</v>
      </c>
    </row>
    <row r="172" spans="1:8">
      <c r="A172" s="376" t="s">
        <v>323</v>
      </c>
      <c r="B172" s="199"/>
      <c r="C172" s="370">
        <f>+C165</f>
        <v>8333.3333333333321</v>
      </c>
      <c r="D172" s="370">
        <f>+SUM(C165:D165)</f>
        <v>16666.666666666664</v>
      </c>
      <c r="E172" s="370">
        <f>+SUM(C165:E165)</f>
        <v>24999.999999999996</v>
      </c>
      <c r="F172" s="370">
        <f>+SUM(C165:F165)</f>
        <v>24999.999999999996</v>
      </c>
      <c r="G172" s="370">
        <f>+SUM(C165:G165)</f>
        <v>24999.999999999996</v>
      </c>
      <c r="H172" s="370">
        <f>+SUM(C165:H165)</f>
        <v>24999.999999999996</v>
      </c>
    </row>
    <row r="173" spans="1:8">
      <c r="A173" s="492" t="s">
        <v>48</v>
      </c>
      <c r="B173" s="493"/>
      <c r="C173" s="202">
        <f t="shared" ref="C173:H173" si="38">+C170+C171+C172</f>
        <v>8333.3333333333321</v>
      </c>
      <c r="D173" s="202">
        <f t="shared" si="38"/>
        <v>16666.666666666664</v>
      </c>
      <c r="E173" s="202">
        <f t="shared" si="38"/>
        <v>24999.999999999996</v>
      </c>
      <c r="F173" s="202">
        <f t="shared" si="38"/>
        <v>24999.999999999996</v>
      </c>
      <c r="G173" s="202">
        <f t="shared" si="38"/>
        <v>24999.999999999996</v>
      </c>
      <c r="H173" s="202">
        <f t="shared" si="38"/>
        <v>24999.999999999996</v>
      </c>
    </row>
    <row r="174" spans="1:8">
      <c r="A174" s="204"/>
      <c r="B174" s="204"/>
      <c r="C174" s="378"/>
      <c r="D174" s="378"/>
      <c r="E174" s="378"/>
      <c r="F174" s="378"/>
      <c r="G174" s="378"/>
      <c r="H174" s="378"/>
    </row>
    <row r="175" spans="1:8">
      <c r="A175" s="204"/>
      <c r="B175" s="204"/>
      <c r="C175" s="378"/>
      <c r="D175" s="378"/>
      <c r="E175" s="378"/>
      <c r="F175" s="378"/>
      <c r="G175" s="378"/>
      <c r="H175" s="378"/>
    </row>
    <row r="176" spans="1:8">
      <c r="A176" s="211" t="s">
        <v>378</v>
      </c>
      <c r="B176" s="212"/>
      <c r="C176" s="197">
        <f>+C7</f>
        <v>2012</v>
      </c>
      <c r="D176" s="197">
        <f>+C176+1</f>
        <v>2013</v>
      </c>
      <c r="E176" s="197">
        <f>+D176+1</f>
        <v>2014</v>
      </c>
      <c r="F176" s="197">
        <f>+E176+1</f>
        <v>2015</v>
      </c>
      <c r="G176" s="197">
        <f>+F176+1</f>
        <v>2016</v>
      </c>
      <c r="H176" s="197">
        <f>+G176+1</f>
        <v>2017</v>
      </c>
    </row>
    <row r="177" spans="1:8">
      <c r="A177" s="377" t="s">
        <v>269</v>
      </c>
      <c r="B177" s="199"/>
      <c r="C177" s="379">
        <f t="shared" ref="C177:H177" si="39">+C38-C170</f>
        <v>0</v>
      </c>
      <c r="D177" s="379">
        <f t="shared" si="39"/>
        <v>0</v>
      </c>
      <c r="E177" s="379">
        <f t="shared" si="39"/>
        <v>0</v>
      </c>
      <c r="F177" s="379">
        <f t="shared" si="39"/>
        <v>0</v>
      </c>
      <c r="G177" s="379">
        <f t="shared" si="39"/>
        <v>0</v>
      </c>
      <c r="H177" s="379">
        <f t="shared" si="39"/>
        <v>0</v>
      </c>
    </row>
    <row r="178" spans="1:8">
      <c r="A178" s="377" t="s">
        <v>274</v>
      </c>
      <c r="B178" s="199"/>
      <c r="C178" s="379">
        <f t="shared" ref="C178:H178" si="40">+C47-C171</f>
        <v>0</v>
      </c>
      <c r="D178" s="379">
        <f t="shared" si="40"/>
        <v>0</v>
      </c>
      <c r="E178" s="379">
        <f t="shared" si="40"/>
        <v>0</v>
      </c>
      <c r="F178" s="379">
        <f t="shared" si="40"/>
        <v>0</v>
      </c>
      <c r="G178" s="379">
        <f t="shared" si="40"/>
        <v>0</v>
      </c>
      <c r="H178" s="379">
        <f t="shared" si="40"/>
        <v>0</v>
      </c>
    </row>
    <row r="179" spans="1:8">
      <c r="A179" s="376" t="s">
        <v>323</v>
      </c>
      <c r="B179" s="199"/>
      <c r="C179" s="370">
        <f t="shared" ref="C179:H179" si="41">+C54-C172</f>
        <v>21666.666666666668</v>
      </c>
      <c r="D179" s="370">
        <f t="shared" si="41"/>
        <v>13333.333333333336</v>
      </c>
      <c r="E179" s="370">
        <f t="shared" si="41"/>
        <v>5000.0000000000036</v>
      </c>
      <c r="F179" s="370">
        <f t="shared" si="41"/>
        <v>5000.0000000000036</v>
      </c>
      <c r="G179" s="370">
        <f t="shared" si="41"/>
        <v>5000.0000000000036</v>
      </c>
      <c r="H179" s="370">
        <f t="shared" si="41"/>
        <v>5000.0000000000036</v>
      </c>
    </row>
    <row r="180" spans="1:8">
      <c r="A180" s="492" t="s">
        <v>48</v>
      </c>
      <c r="B180" s="493"/>
      <c r="C180" s="202">
        <f t="shared" ref="C180:H180" si="42">+C177+C178+C179</f>
        <v>21666.666666666668</v>
      </c>
      <c r="D180" s="202">
        <f t="shared" si="42"/>
        <v>13333.333333333336</v>
      </c>
      <c r="E180" s="202">
        <f t="shared" si="42"/>
        <v>5000.0000000000036</v>
      </c>
      <c r="F180" s="202">
        <f t="shared" si="42"/>
        <v>5000.0000000000036</v>
      </c>
      <c r="G180" s="202">
        <f t="shared" si="42"/>
        <v>5000.0000000000036</v>
      </c>
      <c r="H180" s="202">
        <f t="shared" si="42"/>
        <v>5000.0000000000036</v>
      </c>
    </row>
  </sheetData>
  <sheetProtection password="8318" sheet="1"/>
  <mergeCells count="18">
    <mergeCell ref="A4:H4"/>
    <mergeCell ref="A28:B28"/>
    <mergeCell ref="A21:B21"/>
    <mergeCell ref="A12:B12"/>
    <mergeCell ref="A91:B91"/>
    <mergeCell ref="A7:B7"/>
    <mergeCell ref="A33:B33"/>
    <mergeCell ref="A58:C58"/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</mergeCells>
  <phoneticPr fontId="2" type="noConversion"/>
  <printOptions horizontalCentered="1"/>
  <pageMargins left="0.75" right="0.75" top="0.39370078740157483" bottom="0.39370078740157483" header="0.51181102362204722" footer="0.51181102362204722"/>
  <pageSetup paperSize="9" scale="90" orientation="portrait" r:id="rId1"/>
  <headerFooter alignWithMargins="0">
    <oddFooter>&amp;C&amp;"Arial,Normal"&amp;8IAPMEI&amp;R&amp;"Arial,Normal"&amp;8&amp;P</oddFooter>
  </headerFooter>
  <ignoredErrors>
    <ignoredError sqref="C71:C7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Normal="100" workbookViewId="0">
      <selection activeCell="C17" sqref="C17"/>
    </sheetView>
  </sheetViews>
  <sheetFormatPr defaultColWidth="8.7109375" defaultRowHeight="12.75"/>
  <cols>
    <col min="1" max="1" width="30.5703125" style="93" customWidth="1"/>
    <col min="2" max="2" width="8.7109375" style="93" customWidth="1"/>
    <col min="3" max="3" width="13.5703125" style="93" customWidth="1"/>
    <col min="4" max="4" width="12.140625" style="93" customWidth="1"/>
    <col min="5" max="8" width="11.7109375" style="93" customWidth="1"/>
    <col min="9" max="16384" width="8.7109375" style="93"/>
  </cols>
  <sheetData>
    <row r="1" spans="1:8" ht="13.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Portugal OutofTrack</v>
      </c>
    </row>
    <row r="2" spans="1:8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>
      <c r="A3" s="83"/>
      <c r="B3" s="83"/>
      <c r="C3" s="83"/>
      <c r="D3" s="83"/>
      <c r="E3" s="83"/>
      <c r="F3" s="83"/>
      <c r="G3" s="83"/>
      <c r="H3" s="78"/>
    </row>
    <row r="4" spans="1:8" ht="15.75">
      <c r="A4" s="460" t="s">
        <v>15</v>
      </c>
      <c r="B4" s="460"/>
      <c r="C4" s="460"/>
      <c r="D4" s="460"/>
      <c r="E4" s="460"/>
      <c r="F4" s="460"/>
      <c r="G4" s="460"/>
      <c r="H4" s="460"/>
    </row>
    <row r="5" spans="1:8">
      <c r="A5" s="83"/>
      <c r="B5" s="83"/>
      <c r="C5" s="83"/>
      <c r="D5" s="83"/>
      <c r="E5" s="83"/>
      <c r="F5" s="83"/>
      <c r="G5" s="83"/>
      <c r="H5" s="83"/>
    </row>
    <row r="6" spans="1:8">
      <c r="A6" s="83"/>
      <c r="B6" s="83"/>
      <c r="C6" s="83"/>
      <c r="D6" s="83"/>
      <c r="E6" s="83"/>
      <c r="F6" s="83"/>
      <c r="G6" s="83"/>
      <c r="H6" s="83"/>
    </row>
    <row r="7" spans="1:8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>
      <c r="A8" s="174" t="s">
        <v>387</v>
      </c>
      <c r="B8" s="124"/>
      <c r="C8" s="138">
        <f>Investimento!C29+FundoManeio!C24</f>
        <v>30207.299374999999</v>
      </c>
      <c r="D8" s="138">
        <f>Investimento!D29+FundoManeio!D24</f>
        <v>3017.2850607638898</v>
      </c>
      <c r="E8" s="138">
        <f>Investimento!E29+FundoManeio!E24</f>
        <v>-178.60579166666412</v>
      </c>
      <c r="F8" s="138">
        <f>Investimento!F29+FundoManeio!F24</f>
        <v>1020.2078814583274</v>
      </c>
      <c r="G8" s="138">
        <f>Investimento!G29+FundoManeio!G24</f>
        <v>1546.8207646024348</v>
      </c>
      <c r="H8" s="138">
        <f>Investimento!H29+FundoManeio!H24</f>
        <v>3418.5614333083649</v>
      </c>
    </row>
    <row r="9" spans="1:8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t="shared" ref="C10:H10" si="0">+ROUND(C8*(1+C9),-2)</f>
        <v>30800</v>
      </c>
      <c r="D10" s="181">
        <f t="shared" si="0"/>
        <v>3100</v>
      </c>
      <c r="E10" s="181">
        <f t="shared" si="0"/>
        <v>-200</v>
      </c>
      <c r="F10" s="181">
        <f t="shared" si="0"/>
        <v>1000</v>
      </c>
      <c r="G10" s="181">
        <f t="shared" si="0"/>
        <v>1600</v>
      </c>
      <c r="H10" s="181">
        <f t="shared" si="0"/>
        <v>3500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>
      <c r="A12" s="83"/>
      <c r="B12" s="83"/>
      <c r="C12" s="215"/>
      <c r="D12" s="215"/>
      <c r="E12" s="215"/>
      <c r="F12" s="215"/>
      <c r="G12" s="215"/>
      <c r="H12" s="215"/>
    </row>
    <row r="13" spans="1:8">
      <c r="A13" s="174" t="s">
        <v>163</v>
      </c>
      <c r="B13" s="124"/>
      <c r="C13" s="80">
        <f t="shared" ref="C13:H13" si="1">+C7</f>
        <v>2012</v>
      </c>
      <c r="D13" s="80">
        <f t="shared" si="1"/>
        <v>2013</v>
      </c>
      <c r="E13" s="80">
        <f t="shared" si="1"/>
        <v>2014</v>
      </c>
      <c r="F13" s="80">
        <f t="shared" si="1"/>
        <v>2015</v>
      </c>
      <c r="G13" s="80">
        <f t="shared" si="1"/>
        <v>2016</v>
      </c>
      <c r="H13" s="80">
        <f t="shared" si="1"/>
        <v>2017</v>
      </c>
    </row>
    <row r="14" spans="1:8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32131.918906666662</v>
      </c>
      <c r="E14" s="180">
        <f>IF(+'Cash Flow'!E12&gt;0,'Cash Flow'!E12,0)</f>
        <v>7995.4400506666552</v>
      </c>
      <c r="F14" s="180">
        <f>IF(+'Cash Flow'!F12&gt;0,'Cash Flow'!F12,0)</f>
        <v>9984.6829917280011</v>
      </c>
      <c r="G14" s="180">
        <f>IF(+'Cash Flow'!G12&gt;0,'Cash Flow'!G12,0)</f>
        <v>34708.668197274092</v>
      </c>
      <c r="H14" s="180">
        <f>IF(+'Cash Flow'!H12&gt;0,'Cash Flow'!H12,0)</f>
        <v>95048.9638149323</v>
      </c>
    </row>
    <row r="15" spans="1:8">
      <c r="A15" s="84" t="s">
        <v>362</v>
      </c>
      <c r="B15" s="124"/>
      <c r="C15" s="70">
        <v>5000</v>
      </c>
      <c r="D15" s="70"/>
      <c r="E15" s="70"/>
      <c r="F15" s="70"/>
      <c r="G15" s="70"/>
      <c r="H15" s="70"/>
    </row>
    <row r="16" spans="1:8">
      <c r="A16" s="84" t="s">
        <v>386</v>
      </c>
      <c r="B16" s="124"/>
      <c r="C16" s="70">
        <v>30000</v>
      </c>
      <c r="D16" s="70">
        <v>0</v>
      </c>
      <c r="E16" s="70"/>
      <c r="F16" s="70"/>
      <c r="G16" s="70"/>
      <c r="H16" s="70"/>
    </row>
    <row r="17" spans="1:8">
      <c r="A17" s="84" t="s">
        <v>388</v>
      </c>
      <c r="B17" s="124"/>
      <c r="C17" s="70"/>
      <c r="D17" s="70"/>
      <c r="E17" s="70"/>
      <c r="F17" s="70"/>
      <c r="G17" s="70"/>
      <c r="H17" s="70"/>
    </row>
    <row r="18" spans="1:8">
      <c r="A18" s="84" t="s">
        <v>204</v>
      </c>
      <c r="B18" s="104"/>
      <c r="C18" s="60"/>
      <c r="D18" s="60"/>
      <c r="E18" s="60"/>
      <c r="F18" s="60"/>
      <c r="G18" s="60"/>
      <c r="H18" s="60"/>
    </row>
    <row r="19" spans="1:8">
      <c r="A19" s="381" t="s">
        <v>381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75" t="s">
        <v>96</v>
      </c>
      <c r="B20" s="477"/>
      <c r="C20" s="181">
        <f t="shared" ref="C20:H20" si="2">SUM(C14:C19)</f>
        <v>35000</v>
      </c>
      <c r="D20" s="181">
        <f t="shared" si="2"/>
        <v>32131.918906666662</v>
      </c>
      <c r="E20" s="181">
        <f t="shared" si="2"/>
        <v>7995.4400506666552</v>
      </c>
      <c r="F20" s="181">
        <f t="shared" si="2"/>
        <v>9984.6829917280011</v>
      </c>
      <c r="G20" s="181">
        <f t="shared" si="2"/>
        <v>34708.668197274092</v>
      </c>
      <c r="H20" s="181">
        <f t="shared" si="2"/>
        <v>95048.9638149323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>
      <c r="A22" s="83" t="s">
        <v>266</v>
      </c>
      <c r="B22" s="344">
        <v>4</v>
      </c>
      <c r="C22" s="217"/>
      <c r="D22" s="217"/>
      <c r="E22" s="217"/>
      <c r="F22" s="217"/>
      <c r="G22" s="217"/>
      <c r="H22" s="217"/>
    </row>
    <row r="23" spans="1:8">
      <c r="A23" s="83" t="s">
        <v>267</v>
      </c>
      <c r="B23" s="345">
        <f>Pressupostos!$B$32</f>
        <v>6.6000000000000003E-2</v>
      </c>
      <c r="C23" s="217"/>
      <c r="D23" s="217"/>
      <c r="E23" s="217"/>
      <c r="F23" s="217"/>
      <c r="G23" s="217"/>
      <c r="H23" s="217"/>
    </row>
    <row r="24" spans="1:8">
      <c r="A24" s="83"/>
      <c r="B24" s="83"/>
      <c r="C24" s="83"/>
      <c r="D24" s="83"/>
      <c r="E24" s="83"/>
      <c r="F24" s="83"/>
      <c r="G24" s="83"/>
      <c r="H24" s="83"/>
    </row>
    <row r="25" spans="1:8">
      <c r="A25" s="233">
        <f>+C13</f>
        <v>2012</v>
      </c>
      <c r="B25" s="83"/>
      <c r="C25" s="83"/>
      <c r="D25" s="83"/>
      <c r="E25" s="83"/>
      <c r="F25" s="83"/>
      <c r="G25" s="83"/>
      <c r="H25" s="83"/>
    </row>
    <row r="26" spans="1:8">
      <c r="A26" s="84" t="s">
        <v>205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>
      <c r="A27" s="84" t="s">
        <v>12</v>
      </c>
      <c r="B27" s="104"/>
      <c r="C27" s="221">
        <f t="shared" ref="C27:H27" si="3">$B$23</f>
        <v>6.6000000000000003E-2</v>
      </c>
      <c r="D27" s="221">
        <f t="shared" si="3"/>
        <v>6.6000000000000003E-2</v>
      </c>
      <c r="E27" s="221">
        <f t="shared" si="3"/>
        <v>6.6000000000000003E-2</v>
      </c>
      <c r="F27" s="221">
        <f t="shared" si="3"/>
        <v>6.6000000000000003E-2</v>
      </c>
      <c r="G27" s="221">
        <f t="shared" si="3"/>
        <v>6.6000000000000003E-2</v>
      </c>
      <c r="H27" s="221">
        <f t="shared" si="3"/>
        <v>6.6000000000000003E-2</v>
      </c>
    </row>
    <row r="28" spans="1:8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>
      <c r="A30" s="84" t="s">
        <v>169</v>
      </c>
      <c r="B30" s="104"/>
      <c r="C30" s="180">
        <f t="shared" ref="C30:H30" si="4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>
      <c r="A31" s="84" t="s">
        <v>207</v>
      </c>
      <c r="B31" s="104"/>
      <c r="C31" s="180">
        <f t="shared" ref="C31:H31" si="5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>
      <c r="A32" s="84" t="s">
        <v>206</v>
      </c>
      <c r="B32" s="104"/>
      <c r="C32" s="223">
        <f t="shared" ref="C32:H32" si="6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83" t="s">
        <v>266</v>
      </c>
      <c r="B34" s="344"/>
      <c r="C34" s="83"/>
      <c r="D34" s="83"/>
      <c r="E34" s="83"/>
      <c r="F34" s="83"/>
      <c r="G34" s="83"/>
      <c r="H34" s="83"/>
    </row>
    <row r="35" spans="1:8">
      <c r="A35" s="83" t="s">
        <v>267</v>
      </c>
      <c r="B35" s="345">
        <f>Pressupostos!$B$32</f>
        <v>6.6000000000000003E-2</v>
      </c>
      <c r="C35" s="83"/>
      <c r="D35" s="83"/>
      <c r="E35" s="83"/>
      <c r="F35" s="83"/>
      <c r="G35" s="83"/>
      <c r="H35" s="83"/>
    </row>
    <row r="36" spans="1:8">
      <c r="A36" s="83"/>
      <c r="B36" s="83"/>
      <c r="C36" s="83"/>
      <c r="D36" s="83"/>
      <c r="E36" s="83"/>
      <c r="F36" s="83"/>
      <c r="G36" s="83"/>
      <c r="H36" s="83"/>
    </row>
    <row r="37" spans="1:8">
      <c r="A37" s="233">
        <f>+D13</f>
        <v>2013</v>
      </c>
      <c r="B37" s="83"/>
      <c r="C37" s="83"/>
      <c r="D37" s="83"/>
      <c r="E37" s="83"/>
      <c r="F37" s="83"/>
      <c r="G37" s="83"/>
      <c r="H37" s="83"/>
    </row>
    <row r="38" spans="1:8">
      <c r="A38" s="84" t="s">
        <v>205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>
      <c r="A39" s="84" t="s">
        <v>12</v>
      </c>
      <c r="B39" s="104"/>
      <c r="C39" s="220"/>
      <c r="D39" s="221">
        <f>$B$35</f>
        <v>6.6000000000000003E-2</v>
      </c>
      <c r="E39" s="221">
        <f>$B$35</f>
        <v>6.6000000000000003E-2</v>
      </c>
      <c r="F39" s="221">
        <f>$B$35</f>
        <v>6.6000000000000003E-2</v>
      </c>
      <c r="G39" s="221">
        <f>$B$35</f>
        <v>6.6000000000000003E-2</v>
      </c>
      <c r="H39" s="221">
        <f>$B$35</f>
        <v>6.6000000000000003E-2</v>
      </c>
    </row>
    <row r="40" spans="1:8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>
      <c r="A42" s="84" t="s">
        <v>169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>
      <c r="A43" s="84" t="s">
        <v>207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>
      <c r="A44" s="84" t="s">
        <v>206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>
      <c r="A45" s="83"/>
      <c r="B45" s="83"/>
      <c r="C45" s="83"/>
      <c r="D45" s="83"/>
      <c r="E45" s="83"/>
      <c r="F45" s="83"/>
      <c r="G45" s="83"/>
      <c r="H45" s="83"/>
    </row>
    <row r="46" spans="1:8">
      <c r="A46" s="83" t="s">
        <v>266</v>
      </c>
      <c r="B46" s="344"/>
      <c r="C46" s="83"/>
      <c r="D46" s="83"/>
      <c r="E46" s="83"/>
      <c r="F46" s="83"/>
      <c r="G46" s="83"/>
      <c r="H46" s="83"/>
    </row>
    <row r="47" spans="1:8">
      <c r="A47" s="83" t="s">
        <v>267</v>
      </c>
      <c r="B47" s="345">
        <f>Pressupostos!$B$32</f>
        <v>6.6000000000000003E-2</v>
      </c>
      <c r="C47" s="83"/>
      <c r="D47" s="83"/>
      <c r="E47" s="83"/>
      <c r="F47" s="83"/>
      <c r="G47" s="83"/>
      <c r="H47" s="83"/>
    </row>
    <row r="48" spans="1:8">
      <c r="A48" s="83"/>
      <c r="B48" s="83"/>
      <c r="C48" s="83"/>
      <c r="D48" s="83"/>
      <c r="E48" s="83"/>
      <c r="F48" s="83"/>
      <c r="G48" s="83"/>
      <c r="H48" s="83"/>
    </row>
    <row r="49" spans="1:8">
      <c r="A49" s="233">
        <f>+E13</f>
        <v>2014</v>
      </c>
      <c r="B49" s="83"/>
      <c r="C49" s="83"/>
      <c r="D49" s="83"/>
      <c r="E49" s="83"/>
      <c r="F49" s="83"/>
      <c r="G49" s="83"/>
      <c r="H49" s="83"/>
    </row>
    <row r="50" spans="1:8">
      <c r="A50" s="84" t="s">
        <v>205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>
      <c r="A51" s="84" t="s">
        <v>12</v>
      </c>
      <c r="B51" s="104"/>
      <c r="C51" s="227"/>
      <c r="D51" s="228"/>
      <c r="E51" s="221">
        <f>$B$47</f>
        <v>6.6000000000000003E-2</v>
      </c>
      <c r="F51" s="221">
        <f>$B$47</f>
        <v>6.6000000000000003E-2</v>
      </c>
      <c r="G51" s="221">
        <f>$B$47</f>
        <v>6.6000000000000003E-2</v>
      </c>
      <c r="H51" s="221">
        <f>$B$47</f>
        <v>6.6000000000000003E-2</v>
      </c>
    </row>
    <row r="52" spans="1:8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>
      <c r="A54" s="84" t="s">
        <v>169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>
      <c r="A55" s="84" t="s">
        <v>207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>
      <c r="A57" s="83"/>
      <c r="B57" s="83"/>
      <c r="C57" s="83"/>
      <c r="D57" s="83"/>
      <c r="E57" s="83"/>
      <c r="F57" s="83"/>
      <c r="G57" s="83"/>
      <c r="H57" s="83"/>
    </row>
    <row r="58" spans="1:8">
      <c r="A58" s="83" t="s">
        <v>266</v>
      </c>
      <c r="B58" s="344"/>
      <c r="C58" s="83"/>
      <c r="D58" s="83"/>
      <c r="E58" s="83"/>
      <c r="F58" s="83"/>
      <c r="G58" s="83"/>
      <c r="H58" s="83"/>
    </row>
    <row r="59" spans="1:8">
      <c r="A59" s="83" t="s">
        <v>267</v>
      </c>
      <c r="B59" s="345">
        <f>Pressupostos!$B$32</f>
        <v>6.6000000000000003E-2</v>
      </c>
      <c r="C59" s="83"/>
      <c r="D59" s="83"/>
      <c r="E59" s="83"/>
      <c r="F59" s="83"/>
      <c r="G59" s="83"/>
      <c r="H59" s="83"/>
    </row>
    <row r="60" spans="1:8">
      <c r="A60" s="83"/>
      <c r="B60" s="83"/>
      <c r="C60" s="83"/>
      <c r="D60" s="83"/>
      <c r="E60" s="83"/>
      <c r="F60" s="83"/>
      <c r="G60" s="83"/>
      <c r="H60" s="83"/>
    </row>
    <row r="61" spans="1:8">
      <c r="A61" s="233">
        <f>+F13</f>
        <v>2015</v>
      </c>
      <c r="B61" s="83"/>
      <c r="C61" s="83"/>
      <c r="D61" s="83"/>
      <c r="E61" s="83"/>
      <c r="F61" s="83"/>
      <c r="G61" s="83"/>
      <c r="H61" s="83"/>
    </row>
    <row r="62" spans="1:8">
      <c r="A62" s="84" t="s">
        <v>205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>
      <c r="A63" s="84" t="s">
        <v>12</v>
      </c>
      <c r="B63" s="104"/>
      <c r="C63" s="227"/>
      <c r="D63" s="228"/>
      <c r="E63" s="228"/>
      <c r="F63" s="221">
        <f>$B$59</f>
        <v>6.6000000000000003E-2</v>
      </c>
      <c r="G63" s="221">
        <f>$B$59</f>
        <v>6.6000000000000003E-2</v>
      </c>
      <c r="H63" s="221">
        <f>$B$59</f>
        <v>6.6000000000000003E-2</v>
      </c>
    </row>
    <row r="64" spans="1:8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>
      <c r="A66" s="84" t="s">
        <v>169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>
      <c r="A67" s="84" t="s">
        <v>207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>
      <c r="A68" s="84" t="s">
        <v>206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>
      <c r="A69" s="83"/>
      <c r="B69" s="83"/>
      <c r="C69" s="83"/>
      <c r="D69" s="83"/>
      <c r="E69" s="83"/>
      <c r="F69" s="83"/>
      <c r="G69" s="83"/>
      <c r="H69" s="83"/>
    </row>
    <row r="70" spans="1:8">
      <c r="A70" s="83" t="s">
        <v>266</v>
      </c>
      <c r="B70" s="344"/>
      <c r="C70" s="83"/>
      <c r="D70" s="83"/>
      <c r="E70" s="83"/>
      <c r="F70" s="83"/>
      <c r="G70" s="83"/>
      <c r="H70" s="83"/>
    </row>
    <row r="71" spans="1:8">
      <c r="A71" s="83" t="s">
        <v>267</v>
      </c>
      <c r="B71" s="345">
        <f>Pressupostos!$B$32</f>
        <v>6.6000000000000003E-2</v>
      </c>
      <c r="C71" s="83"/>
      <c r="D71" s="83"/>
      <c r="E71" s="83"/>
      <c r="F71" s="83"/>
      <c r="G71" s="83"/>
      <c r="H71" s="83"/>
    </row>
    <row r="72" spans="1:8">
      <c r="A72" s="83"/>
      <c r="B72" s="83"/>
      <c r="C72" s="83"/>
      <c r="D72" s="83"/>
      <c r="E72" s="83"/>
      <c r="F72" s="83"/>
      <c r="G72" s="83"/>
      <c r="H72" s="83"/>
    </row>
    <row r="73" spans="1:8">
      <c r="A73" s="233">
        <f>+G13</f>
        <v>2016</v>
      </c>
      <c r="B73" s="83"/>
      <c r="C73" s="83"/>
      <c r="D73" s="83"/>
      <c r="E73" s="83"/>
      <c r="F73" s="83"/>
      <c r="G73" s="83"/>
      <c r="H73" s="83"/>
    </row>
    <row r="74" spans="1:8">
      <c r="A74" s="84" t="s">
        <v>205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>
      <c r="A75" s="84" t="s">
        <v>12</v>
      </c>
      <c r="B75" s="104"/>
      <c r="C75" s="227"/>
      <c r="D75" s="228"/>
      <c r="E75" s="228"/>
      <c r="F75" s="228"/>
      <c r="G75" s="221">
        <f>B71</f>
        <v>6.6000000000000003E-2</v>
      </c>
      <c r="H75" s="221">
        <f>B71</f>
        <v>6.6000000000000003E-2</v>
      </c>
    </row>
    <row r="76" spans="1:8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>
      <c r="A78" s="84" t="s">
        <v>169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>
      <c r="A79" s="84" t="s">
        <v>207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>
      <c r="A80" s="84" t="s">
        <v>206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>
      <c r="A81" s="83"/>
      <c r="B81" s="83"/>
      <c r="C81" s="83"/>
      <c r="D81" s="83"/>
      <c r="E81" s="83"/>
      <c r="F81" s="83"/>
      <c r="G81" s="83"/>
      <c r="H81" s="83"/>
    </row>
    <row r="82" spans="1:8">
      <c r="A82" s="83" t="s">
        <v>266</v>
      </c>
      <c r="B82" s="344"/>
      <c r="C82" s="83"/>
      <c r="D82" s="83"/>
      <c r="E82" s="83"/>
      <c r="F82" s="83"/>
      <c r="G82" s="83"/>
      <c r="H82" s="83"/>
    </row>
    <row r="83" spans="1:8">
      <c r="A83" s="83" t="s">
        <v>267</v>
      </c>
      <c r="B83" s="345">
        <f>Pressupostos!$B$32</f>
        <v>6.6000000000000003E-2</v>
      </c>
      <c r="C83" s="83"/>
      <c r="D83" s="83"/>
      <c r="E83" s="83"/>
      <c r="F83" s="83"/>
      <c r="G83" s="83"/>
      <c r="H83" s="83"/>
    </row>
    <row r="84" spans="1:8">
      <c r="A84" s="83"/>
      <c r="B84" s="83"/>
      <c r="C84" s="83"/>
      <c r="D84" s="83"/>
      <c r="E84" s="83"/>
      <c r="F84" s="83"/>
      <c r="G84" s="83"/>
      <c r="H84" s="83"/>
    </row>
    <row r="85" spans="1:8">
      <c r="A85" s="233">
        <f>+H13</f>
        <v>2017</v>
      </c>
      <c r="B85" s="83"/>
      <c r="C85" s="83"/>
      <c r="D85" s="83"/>
      <c r="E85" s="83"/>
      <c r="F85" s="83"/>
      <c r="G85" s="83"/>
      <c r="H85" s="83"/>
    </row>
    <row r="86" spans="1:8">
      <c r="A86" s="84" t="s">
        <v>205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6.6000000000000003E-2</v>
      </c>
    </row>
    <row r="88" spans="1:8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>
      <c r="A90" s="84" t="s">
        <v>169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>
      <c r="A91" s="84" t="s">
        <v>207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>
      <c r="A92" s="84" t="s">
        <v>206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>
      <c r="A93" s="83"/>
      <c r="B93" s="83"/>
      <c r="C93" s="83"/>
      <c r="D93" s="83"/>
      <c r="E93" s="83"/>
      <c r="F93" s="83"/>
      <c r="G93" s="83"/>
      <c r="H93" s="83"/>
    </row>
    <row r="94" spans="1:8">
      <c r="A94" s="83"/>
      <c r="B94" s="83"/>
      <c r="C94" s="83"/>
      <c r="D94" s="232"/>
      <c r="E94" s="83"/>
      <c r="F94" s="83"/>
      <c r="G94" s="83"/>
      <c r="H94" s="83"/>
    </row>
    <row r="95" spans="1:8">
      <c r="A95" s="174" t="s">
        <v>208</v>
      </c>
      <c r="B95" s="124"/>
      <c r="C95" s="138">
        <f t="shared" ref="C95:H95" si="7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>
      <c r="A96" s="83"/>
      <c r="B96" s="83"/>
      <c r="C96" s="83"/>
      <c r="D96" s="83"/>
      <c r="E96" s="83"/>
      <c r="F96" s="83"/>
      <c r="G96" s="83"/>
      <c r="H96" s="83"/>
    </row>
    <row r="97" spans="1:8">
      <c r="A97" s="174" t="s">
        <v>209</v>
      </c>
      <c r="B97" s="124"/>
      <c r="C97" s="138">
        <f t="shared" ref="C97:H97" si="8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>
      <c r="A98" s="174" t="s">
        <v>117</v>
      </c>
      <c r="B98" s="124"/>
      <c r="C98" s="138">
        <f t="shared" ref="C98:H98" si="9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1:8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honeticPr fontId="2" type="noConversion"/>
  <printOptions horizontalCentered="1"/>
  <pageMargins left="0.15748031496062992" right="0.15748031496062992" top="0.39370078740157483" bottom="0.39370078740157483" header="0.31496062992125984" footer="0.19685039370078741"/>
  <pageSetup paperSize="9" scale="75" orientation="portrait" r:id="rId1"/>
  <headerFooter alignWithMargins="0">
    <oddFooter>&amp;C&amp;"Arial,Normal"&amp;8IAPMEI&amp;R&amp;"Arial,Normal"&amp;8&amp;P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Regras de Utilização</vt:lpstr>
      <vt:lpstr>Pressupostos</vt:lpstr>
      <vt:lpstr>VN</vt:lpstr>
      <vt:lpstr>CMVMC</vt:lpstr>
      <vt:lpstr>FSE</vt:lpstr>
      <vt:lpstr>Gastos com Pessoal</vt:lpstr>
      <vt:lpstr>FundoManeio</vt:lpstr>
      <vt:lpstr>Investimento</vt:lpstr>
      <vt:lpstr>Financiamento</vt:lpstr>
      <vt:lpstr>DR</vt:lpstr>
      <vt:lpstr>Ponto Crítico</vt:lpstr>
      <vt:lpstr>Cash Flow</vt:lpstr>
      <vt:lpstr>PlanoFinanceiro</vt:lpstr>
      <vt:lpstr>Balanço</vt:lpstr>
      <vt:lpstr>Indicadores</vt:lpstr>
      <vt:lpstr>Avaliação</vt:lpstr>
      <vt:lpstr>Calculos Auxiliares</vt:lpstr>
      <vt:lpstr>Avaliação!Print_Area</vt:lpstr>
      <vt:lpstr>Balanço!Print_Area</vt:lpstr>
      <vt:lpstr>'Calculos Auxiliares'!Print_Area</vt:lpstr>
      <vt:lpstr>'Cash Flow'!Print_Area</vt:lpstr>
      <vt:lpstr>CMVMC!Print_Area</vt:lpstr>
      <vt:lpstr>DR!Print_Area</vt:lpstr>
      <vt:lpstr>Financiamento!Print_Area</vt:lpstr>
      <vt:lpstr>FSE!Print_Area</vt:lpstr>
      <vt:lpstr>FundoManeio!Print_Area</vt:lpstr>
      <vt:lpstr>'Gastos com Pessoal'!Print_Area</vt:lpstr>
      <vt:lpstr>Indicadores!Print_Area</vt:lpstr>
      <vt:lpstr>Investimento!Print_Area</vt:lpstr>
      <vt:lpstr>PlanoFinanceiro!Print_Area</vt:lpstr>
      <vt:lpstr>'Ponto Crítico'!Print_Area</vt:lpstr>
      <vt:lpstr>Pressupostos!Print_Area</vt:lpstr>
      <vt:lpstr>'Regras de Utilização'!Print_Area</vt:lpstr>
      <vt:lpstr>VN!Print_Area</vt:lpstr>
      <vt:lpstr>Financiamento!Print_Titles</vt:lpstr>
      <vt:lpstr>'Gastos com Pessoal'!Print_Titles</vt:lpstr>
      <vt:lpstr>VN!Print_Titles</vt:lpstr>
    </vt:vector>
  </TitlesOfParts>
  <Company>SBI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 Consulting</dc:creator>
  <cp:lastModifiedBy>DFSL</cp:lastModifiedBy>
  <cp:lastPrinted>2010-02-23T17:34:21Z</cp:lastPrinted>
  <dcterms:created xsi:type="dcterms:W3CDTF">2004-06-30T10:12:30Z</dcterms:created>
  <dcterms:modified xsi:type="dcterms:W3CDTF">2012-06-13T20:13:02Z</dcterms:modified>
</cp:coreProperties>
</file>